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VII/"/>
    </mc:Choice>
  </mc:AlternateContent>
  <xr:revisionPtr revIDLastSave="15" documentId="13_ncr:1_{1748B4C8-B1AD-46CA-B619-FBB7FC1C5ED2}" xr6:coauthVersionLast="47" xr6:coauthVersionMax="47" xr10:uidLastSave="{42833FFC-DA59-4A83-A1D3-EBF1982D04D6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Porto Alegre" sheetId="4" r:id="rId4"/>
    <sheet name="Desl. Base Porto Alegre" sheetId="5" r:id="rId5"/>
    <sheet name="Base Pelotas" sheetId="6" r:id="rId6"/>
    <sheet name="Desl. Base Pelotas" sheetId="7" r:id="rId7"/>
    <sheet name="Comp. Veículo" sheetId="12" r:id="rId8"/>
    <sheet name="Custo Eng. Eletricista" sheetId="18" r:id="rId9"/>
    <sheet name="Comp. Eng. Eletricista" sheetId="19" r:id="rId10"/>
    <sheet name="Custo Oficial de Manutenção" sheetId="16" r:id="rId11"/>
    <sheet name="Comp. Oficial de Manutenção" sheetId="17" r:id="rId12"/>
    <sheet name="Unidades" sheetId="13" r:id="rId13"/>
    <sheet name="BDI" sheetId="14" r:id="rId14"/>
    <sheet name="Divisão Custos ISSQN" sheetId="15" r:id="rId15"/>
  </sheets>
  <definedNames>
    <definedName name="___xlnm__FilterDatabase_6" localSheetId="9">#REF!</definedName>
    <definedName name="___xlnm__FilterDatabase_6" localSheetId="11">#REF!</definedName>
    <definedName name="___xlnm__FilterDatabase_6" localSheetId="8">#REF!</definedName>
    <definedName name="___xlnm__FilterDatabase_6" localSheetId="10">#REF!</definedName>
    <definedName name="___xlnm__FilterDatabase_6">#REF!</definedName>
    <definedName name="_FilterDatabase_3" localSheetId="9">#REF!</definedName>
    <definedName name="_FilterDatabase_3" localSheetId="11">#REF!</definedName>
    <definedName name="_FilterDatabase_3" localSheetId="8">#REF!</definedName>
    <definedName name="_FilterDatabase_3" localSheetId="10">#REF!</definedName>
    <definedName name="_FilterDatabase_3">#REF!</definedName>
    <definedName name="_xlnm_Print_Area" localSheetId="5">'Base Pelotas'!$B$2:$AG$20</definedName>
    <definedName name="_xlnm_Print_Area" localSheetId="3">'Base Porto Alegre'!$B$2:$AG$25</definedName>
    <definedName name="_xlnm_Print_Area" localSheetId="13">NA()</definedName>
    <definedName name="_xlnm_Print_Area" localSheetId="6">'Desl. Base Pelotas'!$B$2:$M$48</definedName>
    <definedName name="_xlnm_Print_Area" localSheetId="4">'Desl. Base Porto Alegre'!$B$2:$M$31</definedName>
    <definedName name="_xlnm_Print_Area" localSheetId="2">'Equipe Técnica'!$B$2:$E$13</definedName>
    <definedName name="_xlnm_Print_Area" localSheetId="12">Unidades!$C$2:$F$26</definedName>
    <definedName name="_xlnm_Print_Area_0" localSheetId="5">'Base Pelotas'!$B$2:$AG$20</definedName>
    <definedName name="_xlnm_Print_Area_0" localSheetId="3">'Base Porto Alegre'!$B$2:$AG$25</definedName>
    <definedName name="_xlnm_Print_Area_0" localSheetId="13">NA()</definedName>
    <definedName name="_xlnm_Print_Area_0" localSheetId="6">'Desl. Base Pelotas'!$B$2:$M$48</definedName>
    <definedName name="_xlnm_Print_Area_0" localSheetId="4">'Desl. Base Porto Alegre'!$B$2:$M$31</definedName>
    <definedName name="_xlnm_Print_Area_0" localSheetId="2">'Equipe Técnica'!$B$2:$E$13</definedName>
    <definedName name="_xlnm_Print_Area_0" localSheetId="12">Unidades!$C$2:$F$26</definedName>
    <definedName name="_xlnm.Print_Area" localSheetId="5">'Base Pelotas'!$B$2:$AW$23</definedName>
    <definedName name="_xlnm.Print_Area" localSheetId="3">'Base Porto Alegre'!$B$2:$AW$25</definedName>
    <definedName name="_xlnm.Print_Area" localSheetId="13">BDI!$B$1:$J$44</definedName>
    <definedName name="_xlnm.Print_Area" localSheetId="6">'Desl. Base Pelotas'!$B$2:$M$48</definedName>
    <definedName name="_xlnm.Print_Area" localSheetId="4">'Desl. Base Porto Alegre'!$B$2:$M$31</definedName>
    <definedName name="_xlnm.Print_Area" localSheetId="2">'Equipe Técnica'!$B$2:$E$13</definedName>
    <definedName name="_xlnm.Print_Area" localSheetId="12">Unidades!$B$2:$H$26</definedName>
    <definedName name="Excel_BuiltIn__FilterDatabase_9_1" localSheetId="9">#REF!</definedName>
    <definedName name="Excel_BuiltIn__FilterDatabase_9_1" localSheetId="11">#REF!</definedName>
    <definedName name="Excel_BuiltIn__FilterDatabase_9_1" localSheetId="8">#REF!</definedName>
    <definedName name="Excel_BuiltIn__FilterDatabase_9_1" localSheetId="10">#REF!</definedName>
    <definedName name="Excel_BuiltIn__FilterDatabase_9_1">#REF!</definedName>
    <definedName name="Excel_BuiltIn_Print_Area" localSheetId="5">'Base Pelotas'!$B$2:$AG$20</definedName>
    <definedName name="Excel_BuiltIn_Print_Area" localSheetId="3">'Base Porto Alegre'!$B$2:$AG$25</definedName>
    <definedName name="Excel_BuiltIn_Print_Area" localSheetId="13">NA()</definedName>
    <definedName name="Excel_BuiltIn_Print_Area" localSheetId="12">Unidades!$C$2:$F$26</definedName>
    <definedName name="Print_Area_0" localSheetId="5">'Base Pelotas'!$B$2:$AG$20</definedName>
    <definedName name="Print_Area_0" localSheetId="3">'Base Porto Alegre'!$B$2:$AG$26</definedName>
    <definedName name="Print_Area_0" localSheetId="13">NA()</definedName>
    <definedName name="Print_Area_0" localSheetId="6">'Desl. Base Pelotas'!$B$2:$M$48</definedName>
    <definedName name="Print_Area_0" localSheetId="4">'Desl. Base Porto Alegre'!$B$2:$M$31</definedName>
    <definedName name="Print_Area_0" localSheetId="2">'Equipe Técnica'!$B$2:$E$13</definedName>
    <definedName name="Print_Area_0" localSheetId="12">Unidades!$C$2:$F$26</definedName>
    <definedName name="Print_Area_0_0" localSheetId="5">'Base Pelotas'!$B$2:$AG$20</definedName>
    <definedName name="Print_Area_0_0" localSheetId="3">'Base Porto Alegre'!$B$2:$AG$25</definedName>
    <definedName name="Print_Area_0_0" localSheetId="13">NA()</definedName>
    <definedName name="Print_Area_0_0" localSheetId="6">'Desl. Base Pelotas'!$B$2:$M$48</definedName>
    <definedName name="Print_Area_0_0" localSheetId="4">'Desl. Base Porto Alegre'!$B$2:$M$31</definedName>
    <definedName name="Print_Area_0_0" localSheetId="2">'Equipe Técnica'!$B$2:$E$13</definedName>
    <definedName name="Print_Area_0_0" localSheetId="12">Unidades!$C$2:$F$26</definedName>
    <definedName name="Print_Area_0_0_0" localSheetId="5">'Base Pelotas'!$B$4:$O$21</definedName>
    <definedName name="Print_Area_0_0_0" localSheetId="3">'Base Porto Alegre'!$B$4:$O$26</definedName>
    <definedName name="Print_Area_0_0_0" localSheetId="6">'Desl. Base Pelotas'!$B$4:$L$35</definedName>
    <definedName name="Print_Area_0_0_0" localSheetId="4">'Desl. Base Porto Alegre'!$B$4:$L$31</definedName>
    <definedName name="Print_Area_0_0_0_0" localSheetId="5">'Base Pelotas'!$B$4:$O$21</definedName>
    <definedName name="Print_Area_0_0_0_0" localSheetId="3">'Base Porto Alegre'!$B$4:$O$26</definedName>
    <definedName name="Print_Area_0_0_0_0" localSheetId="6">'Desl. Base Pelotas'!$B$4:$L$35</definedName>
    <definedName name="Print_Area_0_0_0_0" localSheetId="4">'Desl. Base Porto Alegre'!$B$4:$L$31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3" l="1"/>
  <c r="G15" i="19"/>
  <c r="I15" i="19" s="1"/>
  <c r="I19" i="19"/>
  <c r="I18" i="19"/>
  <c r="I17" i="19"/>
  <c r="I16" i="19"/>
  <c r="I14" i="19"/>
  <c r="C14" i="18"/>
  <c r="C13" i="18"/>
  <c r="W8" i="6"/>
  <c r="W9" i="6"/>
  <c r="W10" i="6"/>
  <c r="W11" i="6"/>
  <c r="W12" i="6"/>
  <c r="W13" i="6"/>
  <c r="W14" i="6"/>
  <c r="W15" i="6"/>
  <c r="W7" i="6"/>
  <c r="Q9" i="7"/>
  <c r="Q12" i="7"/>
  <c r="R6" i="7"/>
  <c r="R7" i="7"/>
  <c r="R8" i="7"/>
  <c r="R9" i="7"/>
  <c r="R10" i="7"/>
  <c r="R11" i="7"/>
  <c r="R12" i="7"/>
  <c r="R13" i="7"/>
  <c r="R5" i="7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5" i="5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7" i="4"/>
  <c r="B25" i="4"/>
  <c r="C24" i="4"/>
  <c r="D11" i="19" l="1"/>
  <c r="I22" i="17"/>
  <c r="I21" i="17"/>
  <c r="I20" i="17"/>
  <c r="I19" i="17"/>
  <c r="I18" i="17"/>
  <c r="I17" i="17"/>
  <c r="I16" i="17"/>
  <c r="I15" i="17"/>
  <c r="I14" i="17"/>
  <c r="D11" i="17" l="1"/>
  <c r="C16" i="16" l="1"/>
  <c r="C17" i="16"/>
  <c r="C18" i="16"/>
  <c r="C19" i="16"/>
  <c r="Q10" i="7" l="1"/>
  <c r="Q14" i="7" s="1"/>
  <c r="K13" i="7"/>
  <c r="L13" i="7" s="1"/>
  <c r="G13" i="7"/>
  <c r="K12" i="7"/>
  <c r="L12" i="7" s="1"/>
  <c r="G12" i="7"/>
  <c r="K11" i="7"/>
  <c r="L11" i="7" s="1"/>
  <c r="G11" i="7"/>
  <c r="K9" i="7"/>
  <c r="L9" i="7" s="1"/>
  <c r="E9" i="7"/>
  <c r="G9" i="7" s="1"/>
  <c r="I7" i="7"/>
  <c r="K7" i="7" s="1"/>
  <c r="L7" i="7" s="1"/>
  <c r="E7" i="7"/>
  <c r="G7" i="7" s="1"/>
  <c r="K5" i="7"/>
  <c r="L5" i="7" s="1"/>
  <c r="G5" i="7"/>
  <c r="I17" i="5"/>
  <c r="K17" i="5" s="1"/>
  <c r="L17" i="5" s="1"/>
  <c r="E17" i="5"/>
  <c r="G17" i="5" s="1"/>
  <c r="K15" i="5"/>
  <c r="L15" i="5" s="1"/>
  <c r="O15" i="5" s="1"/>
  <c r="O16" i="5" s="1"/>
  <c r="G15" i="5"/>
  <c r="K13" i="5"/>
  <c r="L13" i="5" s="1"/>
  <c r="G13" i="5"/>
  <c r="K11" i="5"/>
  <c r="L11" i="5" s="1"/>
  <c r="G11" i="5"/>
  <c r="K9" i="5"/>
  <c r="L9" i="5" s="1"/>
  <c r="E9" i="5"/>
  <c r="G9" i="5" s="1"/>
  <c r="K7" i="5"/>
  <c r="L7" i="5" s="1"/>
  <c r="G7" i="5"/>
  <c r="K5" i="5"/>
  <c r="L5" i="5" s="1"/>
  <c r="G5" i="5"/>
  <c r="B3" i="14" l="1"/>
  <c r="E43" i="14"/>
  <c r="F43" i="14"/>
  <c r="G43" i="14"/>
  <c r="H43" i="14"/>
  <c r="I43" i="14"/>
  <c r="J43" i="14"/>
  <c r="D43" i="14"/>
  <c r="E29" i="14"/>
  <c r="F29" i="14"/>
  <c r="G29" i="14"/>
  <c r="H29" i="14"/>
  <c r="I29" i="14"/>
  <c r="J29" i="14"/>
  <c r="D29" i="14"/>
  <c r="G31" i="12" l="1"/>
  <c r="G32" i="12"/>
  <c r="G30" i="12"/>
  <c r="D24" i="12"/>
  <c r="D23" i="12"/>
  <c r="B2" i="4"/>
  <c r="B7" i="2"/>
  <c r="B2" i="15"/>
  <c r="B2" i="13"/>
  <c r="B2" i="3"/>
  <c r="B2" i="2"/>
  <c r="B20" i="6" l="1"/>
  <c r="D18" i="6"/>
  <c r="C18" i="6"/>
  <c r="C28" i="7"/>
  <c r="AI2" i="6"/>
  <c r="AI2" i="4"/>
  <c r="B20" i="15"/>
  <c r="C20" i="15" s="1"/>
  <c r="B21" i="15"/>
  <c r="C21" i="15" s="1"/>
  <c r="B22" i="15"/>
  <c r="C22" i="15" s="1"/>
  <c r="B23" i="15"/>
  <c r="C23" i="15" s="1"/>
  <c r="B24" i="15"/>
  <c r="C24" i="15" s="1"/>
  <c r="B25" i="15"/>
  <c r="C25" i="15" s="1"/>
  <c r="B26" i="15"/>
  <c r="C26" i="15" s="1"/>
  <c r="B27" i="15"/>
  <c r="C27" i="15" s="1"/>
  <c r="B19" i="15"/>
  <c r="C19" i="15" s="1"/>
  <c r="B6" i="15"/>
  <c r="C6" i="15" s="1"/>
  <c r="B7" i="15"/>
  <c r="C7" i="15" s="1"/>
  <c r="B8" i="15"/>
  <c r="C8" i="15" s="1"/>
  <c r="B9" i="15"/>
  <c r="C9" i="15" s="1"/>
  <c r="B10" i="15"/>
  <c r="C10" i="15" s="1"/>
  <c r="B11" i="15"/>
  <c r="C11" i="15" s="1"/>
  <c r="B12" i="15"/>
  <c r="C12" i="15" s="1"/>
  <c r="B13" i="15"/>
  <c r="C13" i="15" s="1"/>
  <c r="B14" i="15"/>
  <c r="C14" i="15" s="1"/>
  <c r="B15" i="15"/>
  <c r="C15" i="15" s="1"/>
  <c r="B16" i="15"/>
  <c r="C16" i="15" s="1"/>
  <c r="B17" i="15"/>
  <c r="C17" i="15" s="1"/>
  <c r="B18" i="15"/>
  <c r="C18" i="15" s="1"/>
  <c r="B5" i="15"/>
  <c r="C5" i="15" s="1"/>
  <c r="B30" i="2"/>
  <c r="B31" i="2"/>
  <c r="B32" i="2"/>
  <c r="B33" i="2"/>
  <c r="B34" i="2"/>
  <c r="B35" i="2"/>
  <c r="B36" i="2"/>
  <c r="B37" i="2"/>
  <c r="B29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11" i="2"/>
  <c r="Q19" i="5"/>
  <c r="N19" i="5"/>
  <c r="O11" i="7"/>
  <c r="P11" i="7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M19" i="5"/>
  <c r="O17" i="5"/>
  <c r="O18" i="5" s="1"/>
  <c r="K8" i="6"/>
  <c r="K9" i="6"/>
  <c r="K10" i="6"/>
  <c r="K11" i="6"/>
  <c r="K12" i="6"/>
  <c r="K13" i="6"/>
  <c r="K14" i="6"/>
  <c r="K15" i="6"/>
  <c r="K7" i="6"/>
  <c r="J8" i="6"/>
  <c r="J9" i="6"/>
  <c r="J10" i="6"/>
  <c r="J11" i="6"/>
  <c r="J12" i="6"/>
  <c r="J13" i="6"/>
  <c r="J14" i="6"/>
  <c r="J15" i="6"/>
  <c r="J7" i="6"/>
  <c r="F8" i="6"/>
  <c r="F9" i="6"/>
  <c r="F10" i="6"/>
  <c r="F11" i="6"/>
  <c r="F12" i="6"/>
  <c r="F13" i="6"/>
  <c r="F14" i="6"/>
  <c r="F15" i="6"/>
  <c r="F7" i="6"/>
  <c r="E8" i="6"/>
  <c r="E9" i="6"/>
  <c r="E10" i="6"/>
  <c r="E11" i="6"/>
  <c r="E12" i="6"/>
  <c r="E13" i="6"/>
  <c r="E14" i="6"/>
  <c r="E15" i="6"/>
  <c r="E7" i="6"/>
  <c r="D8" i="6"/>
  <c r="D9" i="6"/>
  <c r="D10" i="6"/>
  <c r="D11" i="6"/>
  <c r="D12" i="6"/>
  <c r="D13" i="6"/>
  <c r="D14" i="6"/>
  <c r="D15" i="6"/>
  <c r="D7" i="6"/>
  <c r="C8" i="6"/>
  <c r="C9" i="6"/>
  <c r="C10" i="6"/>
  <c r="C11" i="6"/>
  <c r="C12" i="6"/>
  <c r="C13" i="6"/>
  <c r="C14" i="6"/>
  <c r="C15" i="6"/>
  <c r="Q8" i="4"/>
  <c r="X8" i="4" s="1"/>
  <c r="Q9" i="4"/>
  <c r="Q10" i="4"/>
  <c r="X10" i="4" s="1"/>
  <c r="Q11" i="4"/>
  <c r="Q12" i="4"/>
  <c r="X12" i="4" s="1"/>
  <c r="Q13" i="4"/>
  <c r="X13" i="4" s="1"/>
  <c r="Q14" i="4"/>
  <c r="Q15" i="4"/>
  <c r="Q16" i="4"/>
  <c r="Q17" i="4"/>
  <c r="X17" i="4" s="1"/>
  <c r="Q18" i="4"/>
  <c r="Q19" i="4"/>
  <c r="Q20" i="4"/>
  <c r="AI13" i="6"/>
  <c r="AI14" i="6"/>
  <c r="AI15" i="6"/>
  <c r="Q13" i="6"/>
  <c r="Q14" i="6"/>
  <c r="Q15" i="6"/>
  <c r="C7" i="6"/>
  <c r="K10" i="4"/>
  <c r="K11" i="4"/>
  <c r="K12" i="4"/>
  <c r="K13" i="4"/>
  <c r="K14" i="4"/>
  <c r="K15" i="4"/>
  <c r="K16" i="4"/>
  <c r="K17" i="4"/>
  <c r="K18" i="4"/>
  <c r="K19" i="4"/>
  <c r="K20" i="4"/>
  <c r="K7" i="4"/>
  <c r="K8" i="4"/>
  <c r="K9" i="4"/>
  <c r="J10" i="4"/>
  <c r="J11" i="4"/>
  <c r="J12" i="4"/>
  <c r="J13" i="4"/>
  <c r="J14" i="4"/>
  <c r="J15" i="4"/>
  <c r="J16" i="4"/>
  <c r="J17" i="4"/>
  <c r="J18" i="4"/>
  <c r="J19" i="4"/>
  <c r="J20" i="4"/>
  <c r="J7" i="4"/>
  <c r="J8" i="4"/>
  <c r="J9" i="4"/>
  <c r="F10" i="4"/>
  <c r="F11" i="4"/>
  <c r="F12" i="4"/>
  <c r="F13" i="4"/>
  <c r="F14" i="4"/>
  <c r="F15" i="4"/>
  <c r="F16" i="4"/>
  <c r="F17" i="4"/>
  <c r="F18" i="4"/>
  <c r="F19" i="4"/>
  <c r="F20" i="4"/>
  <c r="F7" i="4"/>
  <c r="F8" i="4"/>
  <c r="F9" i="4"/>
  <c r="E10" i="4"/>
  <c r="E11" i="4"/>
  <c r="E12" i="4"/>
  <c r="E13" i="4"/>
  <c r="E14" i="4"/>
  <c r="E15" i="4"/>
  <c r="E16" i="4"/>
  <c r="E17" i="4"/>
  <c r="E18" i="4"/>
  <c r="E19" i="4"/>
  <c r="E20" i="4"/>
  <c r="E7" i="4"/>
  <c r="E8" i="4"/>
  <c r="E9" i="4"/>
  <c r="D10" i="4"/>
  <c r="D11" i="4"/>
  <c r="D12" i="4"/>
  <c r="D13" i="4"/>
  <c r="D14" i="4"/>
  <c r="D15" i="4"/>
  <c r="D16" i="4"/>
  <c r="D17" i="4"/>
  <c r="D18" i="4"/>
  <c r="D19" i="4"/>
  <c r="D20" i="4"/>
  <c r="D7" i="4"/>
  <c r="D8" i="4"/>
  <c r="D9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7" i="4"/>
  <c r="J44" i="14"/>
  <c r="I44" i="14"/>
  <c r="H44" i="14"/>
  <c r="G44" i="14"/>
  <c r="F44" i="14"/>
  <c r="E44" i="14"/>
  <c r="D44" i="14"/>
  <c r="J30" i="14"/>
  <c r="I30" i="14"/>
  <c r="H30" i="14"/>
  <c r="H7" i="13" s="1"/>
  <c r="G30" i="14"/>
  <c r="F30" i="14"/>
  <c r="H27" i="13" s="1"/>
  <c r="E30" i="14"/>
  <c r="D30" i="14"/>
  <c r="I31" i="12"/>
  <c r="I18" i="12"/>
  <c r="I17" i="12"/>
  <c r="I16" i="12"/>
  <c r="I15" i="12"/>
  <c r="I14" i="12"/>
  <c r="N14" i="7"/>
  <c r="M14" i="7"/>
  <c r="P13" i="7"/>
  <c r="O13" i="7"/>
  <c r="P12" i="7"/>
  <c r="O12" i="7"/>
  <c r="P9" i="7"/>
  <c r="P10" i="7" s="1"/>
  <c r="O9" i="7"/>
  <c r="O10" i="7" s="1"/>
  <c r="P7" i="7"/>
  <c r="O7" i="7"/>
  <c r="O8" i="7" s="1"/>
  <c r="C4" i="7"/>
  <c r="B2" i="7"/>
  <c r="E19" i="6"/>
  <c r="D19" i="6"/>
  <c r="C19" i="6"/>
  <c r="E18" i="6"/>
  <c r="AI12" i="6"/>
  <c r="Q12" i="6"/>
  <c r="AI11" i="6"/>
  <c r="Q11" i="6"/>
  <c r="AI10" i="6"/>
  <c r="Q10" i="6"/>
  <c r="AI9" i="6"/>
  <c r="Q9" i="6"/>
  <c r="AI8" i="6"/>
  <c r="Q8" i="6"/>
  <c r="AI7" i="6"/>
  <c r="Q7" i="6"/>
  <c r="AS4" i="6"/>
  <c r="Q2" i="6"/>
  <c r="B2" i="6"/>
  <c r="O13" i="5"/>
  <c r="O14" i="5" s="1"/>
  <c r="O7" i="5"/>
  <c r="O8" i="5" s="1"/>
  <c r="C4" i="5"/>
  <c r="B2" i="5"/>
  <c r="AI7" i="4"/>
  <c r="Q7" i="4"/>
  <c r="X7" i="4" s="1"/>
  <c r="AS4" i="4"/>
  <c r="Q2" i="4"/>
  <c r="E8" i="3"/>
  <c r="D8" i="3"/>
  <c r="C8" i="3"/>
  <c r="E7" i="3"/>
  <c r="D7" i="3"/>
  <c r="C7" i="3"/>
  <c r="B38" i="2"/>
  <c r="B27" i="2"/>
  <c r="B25" i="2"/>
  <c r="B9" i="2"/>
  <c r="V8" i="6" l="1"/>
  <c r="V9" i="6"/>
  <c r="V10" i="6"/>
  <c r="V11" i="6"/>
  <c r="V12" i="6"/>
  <c r="V13" i="6"/>
  <c r="V14" i="6"/>
  <c r="V15" i="6"/>
  <c r="V7" i="6"/>
  <c r="H6" i="13"/>
  <c r="H25" i="13"/>
  <c r="H26" i="13"/>
  <c r="H8" i="13"/>
  <c r="H10" i="13"/>
  <c r="H19" i="13"/>
  <c r="H20" i="13"/>
  <c r="H21" i="13"/>
  <c r="H9" i="13"/>
  <c r="H12" i="13"/>
  <c r="H11" i="13"/>
  <c r="AJ13" i="4" s="1"/>
  <c r="H22" i="13"/>
  <c r="H23" i="13"/>
  <c r="H5" i="13"/>
  <c r="H14" i="13"/>
  <c r="H13" i="13"/>
  <c r="H15" i="13"/>
  <c r="H16" i="13"/>
  <c r="H17" i="13"/>
  <c r="H18" i="13"/>
  <c r="H24" i="13"/>
  <c r="X11" i="4"/>
  <c r="X9" i="4"/>
  <c r="X20" i="4"/>
  <c r="X19" i="4"/>
  <c r="X18" i="4"/>
  <c r="X16" i="4"/>
  <c r="X15" i="4"/>
  <c r="X14" i="4"/>
  <c r="C13" i="3"/>
  <c r="AJ16" i="4"/>
  <c r="AJ10" i="6"/>
  <c r="AJ9" i="6"/>
  <c r="AJ8" i="6"/>
  <c r="AJ10" i="4"/>
  <c r="AJ7" i="6"/>
  <c r="AJ8" i="4"/>
  <c r="AJ15" i="6"/>
  <c r="AJ14" i="4"/>
  <c r="AJ14" i="6"/>
  <c r="AJ15" i="4"/>
  <c r="AJ13" i="6"/>
  <c r="AJ20" i="4"/>
  <c r="AJ12" i="6"/>
  <c r="I32" i="12"/>
  <c r="X15" i="6"/>
  <c r="C12" i="3"/>
  <c r="X14" i="6"/>
  <c r="I10" i="15"/>
  <c r="X12" i="6"/>
  <c r="X11" i="6"/>
  <c r="X9" i="6"/>
  <c r="H10" i="15"/>
  <c r="J10" i="15" s="1"/>
  <c r="X8" i="6"/>
  <c r="X7" i="6"/>
  <c r="K19" i="5"/>
  <c r="G14" i="7"/>
  <c r="G19" i="5"/>
  <c r="G18" i="4"/>
  <c r="H18" i="4" s="1"/>
  <c r="G17" i="4"/>
  <c r="H17" i="4" s="1"/>
  <c r="R17" i="4" s="1"/>
  <c r="G20" i="4"/>
  <c r="H20" i="4" s="1"/>
  <c r="R20" i="4" s="1"/>
  <c r="G19" i="4"/>
  <c r="H19" i="4" s="1"/>
  <c r="R19" i="4" s="1"/>
  <c r="E21" i="4"/>
  <c r="F21" i="4"/>
  <c r="D21" i="4"/>
  <c r="O11" i="5"/>
  <c r="O12" i="5" s="1"/>
  <c r="G11" i="6"/>
  <c r="H11" i="6" s="1"/>
  <c r="R11" i="6" s="1"/>
  <c r="G14" i="6"/>
  <c r="H14" i="6" s="1"/>
  <c r="R14" i="6" s="1"/>
  <c r="G12" i="6"/>
  <c r="H12" i="6" s="1"/>
  <c r="L12" i="6" s="1"/>
  <c r="T12" i="6" s="1"/>
  <c r="E16" i="6"/>
  <c r="J16" i="6"/>
  <c r="G10" i="6"/>
  <c r="H10" i="6" s="1"/>
  <c r="R10" i="6" s="1"/>
  <c r="G15" i="6"/>
  <c r="H15" i="6" s="1"/>
  <c r="L15" i="6" s="1"/>
  <c r="T15" i="6" s="1"/>
  <c r="G9" i="6"/>
  <c r="H9" i="6" s="1"/>
  <c r="R9" i="6" s="1"/>
  <c r="G13" i="6"/>
  <c r="H13" i="6" s="1"/>
  <c r="I13" i="6" s="1"/>
  <c r="S13" i="6" s="1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21" i="4"/>
  <c r="C5" i="2" s="1"/>
  <c r="G14" i="4"/>
  <c r="H14" i="4" s="1"/>
  <c r="G13" i="4"/>
  <c r="H13" i="4" s="1"/>
  <c r="J21" i="4"/>
  <c r="G10" i="4"/>
  <c r="H10" i="4" s="1"/>
  <c r="G8" i="4"/>
  <c r="H8" i="4" s="1"/>
  <c r="O9" i="5"/>
  <c r="O10" i="5" s="1"/>
  <c r="AJ18" i="4"/>
  <c r="K21" i="4"/>
  <c r="AJ19" i="4"/>
  <c r="L19" i="5"/>
  <c r="P8" i="7"/>
  <c r="X13" i="6" s="1"/>
  <c r="C16" i="6"/>
  <c r="C6" i="2" s="1"/>
  <c r="D16" i="6"/>
  <c r="G8" i="6"/>
  <c r="H8" i="6" s="1"/>
  <c r="R8" i="6" s="1"/>
  <c r="F16" i="6"/>
  <c r="G9" i="4"/>
  <c r="H9" i="4" s="1"/>
  <c r="R9" i="4" s="1"/>
  <c r="G7" i="6"/>
  <c r="K16" i="6"/>
  <c r="K14" i="7"/>
  <c r="D11" i="12"/>
  <c r="E23" i="5" s="1"/>
  <c r="AJ11" i="6"/>
  <c r="AJ12" i="4"/>
  <c r="AJ17" i="4"/>
  <c r="I30" i="12"/>
  <c r="X10" i="6" l="1"/>
  <c r="X16" i="6" s="1"/>
  <c r="D27" i="12"/>
  <c r="E24" i="5" s="1"/>
  <c r="E19" i="7" s="1"/>
  <c r="R15" i="6"/>
  <c r="R12" i="6"/>
  <c r="R13" i="6"/>
  <c r="M8" i="4"/>
  <c r="U8" i="4" s="1"/>
  <c r="R8" i="4"/>
  <c r="L14" i="4"/>
  <c r="T14" i="4" s="1"/>
  <c r="R14" i="4"/>
  <c r="I13" i="4"/>
  <c r="S13" i="4" s="1"/>
  <c r="R13" i="4"/>
  <c r="I10" i="4"/>
  <c r="S10" i="4" s="1"/>
  <c r="R10" i="4"/>
  <c r="I18" i="4"/>
  <c r="S18" i="4" s="1"/>
  <c r="R18" i="4"/>
  <c r="AJ7" i="4"/>
  <c r="AJ9" i="4"/>
  <c r="AJ11" i="4"/>
  <c r="L20" i="4"/>
  <c r="T20" i="4" s="1"/>
  <c r="L18" i="4"/>
  <c r="T18" i="4" s="1"/>
  <c r="M18" i="4"/>
  <c r="U18" i="4" s="1"/>
  <c r="L19" i="4"/>
  <c r="T19" i="4" s="1"/>
  <c r="I17" i="4"/>
  <c r="S17" i="4" s="1"/>
  <c r="L17" i="4"/>
  <c r="T17" i="4" s="1"/>
  <c r="M17" i="4"/>
  <c r="U17" i="4" s="1"/>
  <c r="I20" i="4"/>
  <c r="S20" i="4" s="1"/>
  <c r="I19" i="4"/>
  <c r="S19" i="4" s="1"/>
  <c r="M20" i="4"/>
  <c r="U20" i="4" s="1"/>
  <c r="M19" i="4"/>
  <c r="U19" i="4" s="1"/>
  <c r="H7" i="4"/>
  <c r="G21" i="4"/>
  <c r="W16" i="6"/>
  <c r="L14" i="6"/>
  <c r="T14" i="6" s="1"/>
  <c r="M14" i="6"/>
  <c r="U14" i="6" s="1"/>
  <c r="M15" i="6"/>
  <c r="U15" i="6" s="1"/>
  <c r="I14" i="4"/>
  <c r="S14" i="4" s="1"/>
  <c r="M11" i="6"/>
  <c r="U11" i="6" s="1"/>
  <c r="L11" i="4"/>
  <c r="T11" i="4" s="1"/>
  <c r="I11" i="6"/>
  <c r="S11" i="6" s="1"/>
  <c r="M11" i="4"/>
  <c r="U11" i="4" s="1"/>
  <c r="M13" i="6"/>
  <c r="U13" i="6" s="1"/>
  <c r="L11" i="6"/>
  <c r="T11" i="6" s="1"/>
  <c r="I10" i="6"/>
  <c r="S10" i="6" s="1"/>
  <c r="L10" i="6"/>
  <c r="T10" i="6" s="1"/>
  <c r="M10" i="6"/>
  <c r="U10" i="6" s="1"/>
  <c r="M12" i="6"/>
  <c r="U12" i="6" s="1"/>
  <c r="I12" i="6"/>
  <c r="S12" i="6" s="1"/>
  <c r="M14" i="4"/>
  <c r="U14" i="4" s="1"/>
  <c r="I9" i="6"/>
  <c r="S9" i="6" s="1"/>
  <c r="L13" i="6"/>
  <c r="T13" i="6" s="1"/>
  <c r="I14" i="6"/>
  <c r="S14" i="6" s="1"/>
  <c r="L9" i="6"/>
  <c r="T9" i="6" s="1"/>
  <c r="M9" i="6"/>
  <c r="U9" i="6" s="1"/>
  <c r="I15" i="6"/>
  <c r="S15" i="6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7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21" i="4"/>
  <c r="L14" i="7"/>
  <c r="O5" i="7"/>
  <c r="E18" i="7"/>
  <c r="M8" i="6"/>
  <c r="U8" i="6" s="1"/>
  <c r="L8" i="6"/>
  <c r="T8" i="6" s="1"/>
  <c r="I8" i="6"/>
  <c r="S8" i="6" s="1"/>
  <c r="G16" i="6"/>
  <c r="H7" i="6"/>
  <c r="R7" i="6" s="1"/>
  <c r="I9" i="4"/>
  <c r="S9" i="4" s="1"/>
  <c r="M9" i="4"/>
  <c r="U9" i="4" s="1"/>
  <c r="L9" i="4"/>
  <c r="T9" i="4" s="1"/>
  <c r="W21" i="4"/>
  <c r="C28" i="5"/>
  <c r="O5" i="5"/>
  <c r="O6" i="7" l="1"/>
  <c r="O6" i="5"/>
  <c r="H21" i="4"/>
  <c r="R7" i="4"/>
  <c r="R21" i="4" s="1"/>
  <c r="N18" i="4"/>
  <c r="O18" i="4" s="1"/>
  <c r="I7" i="4"/>
  <c r="S7" i="4" s="1"/>
  <c r="N17" i="4"/>
  <c r="O17" i="4" s="1"/>
  <c r="N19" i="4"/>
  <c r="O19" i="4" s="1"/>
  <c r="M7" i="4"/>
  <c r="L7" i="4"/>
  <c r="T7" i="4" s="1"/>
  <c r="N20" i="4"/>
  <c r="O20" i="4" s="1"/>
  <c r="N14" i="4"/>
  <c r="O14" i="4" s="1"/>
  <c r="N12" i="6"/>
  <c r="O12" i="6" s="1"/>
  <c r="N11" i="6"/>
  <c r="O11" i="6" s="1"/>
  <c r="N11" i="4"/>
  <c r="O11" i="4" s="1"/>
  <c r="N13" i="4"/>
  <c r="O13" i="4" s="1"/>
  <c r="N13" i="6"/>
  <c r="O13" i="6" s="1"/>
  <c r="N15" i="6"/>
  <c r="O15" i="6" s="1"/>
  <c r="N10" i="6"/>
  <c r="O10" i="6" s="1"/>
  <c r="N14" i="6"/>
  <c r="O14" i="6" s="1"/>
  <c r="N9" i="6"/>
  <c r="O9" i="6" s="1"/>
  <c r="N12" i="4"/>
  <c r="O12" i="4" s="1"/>
  <c r="N15" i="4"/>
  <c r="O15" i="4" s="1"/>
  <c r="N8" i="6"/>
  <c r="O8" i="6" s="1"/>
  <c r="N16" i="4"/>
  <c r="O16" i="4" s="1"/>
  <c r="N10" i="4"/>
  <c r="O10" i="4" s="1"/>
  <c r="N8" i="4"/>
  <c r="N9" i="4"/>
  <c r="O9" i="4" s="1"/>
  <c r="H16" i="6"/>
  <c r="M7" i="6"/>
  <c r="U7" i="6" s="1"/>
  <c r="L7" i="6"/>
  <c r="T7" i="6" s="1"/>
  <c r="I7" i="6"/>
  <c r="S7" i="6" s="1"/>
  <c r="C23" i="7"/>
  <c r="V16" i="6" l="1"/>
  <c r="M21" i="4"/>
  <c r="U7" i="4"/>
  <c r="U21" i="4" s="1"/>
  <c r="Y8" i="4"/>
  <c r="O8" i="4"/>
  <c r="Y11" i="6"/>
  <c r="Y14" i="6"/>
  <c r="Y10" i="6"/>
  <c r="Y12" i="6"/>
  <c r="Y9" i="6"/>
  <c r="Y8" i="6"/>
  <c r="Y15" i="6"/>
  <c r="Y13" i="6"/>
  <c r="I21" i="4"/>
  <c r="Y18" i="4"/>
  <c r="Y14" i="4"/>
  <c r="Y9" i="4"/>
  <c r="Y10" i="4"/>
  <c r="Y16" i="4"/>
  <c r="Y20" i="4"/>
  <c r="Y15" i="4"/>
  <c r="Y12" i="4"/>
  <c r="Y13" i="4"/>
  <c r="Y19" i="4"/>
  <c r="Y17" i="4"/>
  <c r="Y11" i="4"/>
  <c r="N7" i="4"/>
  <c r="T21" i="4"/>
  <c r="L21" i="4"/>
  <c r="N7" i="6"/>
  <c r="O7" i="6" s="1"/>
  <c r="R16" i="6"/>
  <c r="I16" i="6"/>
  <c r="V21" i="4"/>
  <c r="S21" i="4"/>
  <c r="L16" i="6"/>
  <c r="M16" i="6"/>
  <c r="Y7" i="4" l="1"/>
  <c r="Y21" i="4" s="1"/>
  <c r="O7" i="4"/>
  <c r="O21" i="4" s="1"/>
  <c r="O16" i="6"/>
  <c r="Y7" i="6"/>
  <c r="Y16" i="6" s="1"/>
  <c r="K10" i="15"/>
  <c r="N21" i="4"/>
  <c r="N16" i="6"/>
  <c r="S16" i="6"/>
  <c r="T16" i="6"/>
  <c r="U16" i="6"/>
  <c r="C29" i="5" l="1"/>
  <c r="C30" i="5" s="1"/>
  <c r="AC5" i="4"/>
  <c r="AC5" i="6"/>
  <c r="C24" i="7"/>
  <c r="C25" i="7" s="1"/>
  <c r="Z8" i="6" l="1"/>
  <c r="AD8" i="6" s="1"/>
  <c r="Z11" i="6"/>
  <c r="AD11" i="6" s="1"/>
  <c r="Z14" i="6"/>
  <c r="AD14" i="6" s="1"/>
  <c r="AA8" i="6"/>
  <c r="AE8" i="6" s="1"/>
  <c r="AL8" i="6" s="1"/>
  <c r="AA11" i="6"/>
  <c r="AE11" i="6" s="1"/>
  <c r="AL11" i="6" s="1"/>
  <c r="AA14" i="6"/>
  <c r="AE14" i="6" s="1"/>
  <c r="AL14" i="6" s="1"/>
  <c r="AB8" i="6"/>
  <c r="AF8" i="6" s="1"/>
  <c r="AM8" i="6" s="1"/>
  <c r="AB11" i="6"/>
  <c r="AF11" i="6" s="1"/>
  <c r="AM11" i="6" s="1"/>
  <c r="AB14" i="6"/>
  <c r="AF14" i="6" s="1"/>
  <c r="AM14" i="6" s="1"/>
  <c r="AC8" i="6"/>
  <c r="AG8" i="6" s="1"/>
  <c r="AN8" i="6" s="1"/>
  <c r="AC11" i="6"/>
  <c r="AG11" i="6" s="1"/>
  <c r="AN11" i="6" s="1"/>
  <c r="AC14" i="6"/>
  <c r="AG14" i="6" s="1"/>
  <c r="AN14" i="6" s="1"/>
  <c r="Z9" i="6"/>
  <c r="AD9" i="6" s="1"/>
  <c r="Z12" i="6"/>
  <c r="AD12" i="6" s="1"/>
  <c r="Z15" i="6"/>
  <c r="AD15" i="6" s="1"/>
  <c r="AC7" i="6"/>
  <c r="AA9" i="6"/>
  <c r="AE9" i="6" s="1"/>
  <c r="AL9" i="6" s="1"/>
  <c r="AA12" i="6"/>
  <c r="AE12" i="6" s="1"/>
  <c r="AL12" i="6" s="1"/>
  <c r="AA15" i="6"/>
  <c r="AE15" i="6" s="1"/>
  <c r="AL15" i="6" s="1"/>
  <c r="AB7" i="6"/>
  <c r="AB9" i="6"/>
  <c r="AF9" i="6" s="1"/>
  <c r="AM9" i="6" s="1"/>
  <c r="AB12" i="6"/>
  <c r="AF12" i="6" s="1"/>
  <c r="AM12" i="6" s="1"/>
  <c r="AB15" i="6"/>
  <c r="AF15" i="6" s="1"/>
  <c r="AM15" i="6" s="1"/>
  <c r="AA7" i="6"/>
  <c r="AC9" i="6"/>
  <c r="AG9" i="6" s="1"/>
  <c r="AN9" i="6" s="1"/>
  <c r="AC12" i="6"/>
  <c r="AG12" i="6" s="1"/>
  <c r="AN12" i="6" s="1"/>
  <c r="AC15" i="6"/>
  <c r="AG15" i="6" s="1"/>
  <c r="AN15" i="6" s="1"/>
  <c r="Z7" i="6"/>
  <c r="Z10" i="6"/>
  <c r="AD10" i="6" s="1"/>
  <c r="Z13" i="6"/>
  <c r="AD13" i="6" s="1"/>
  <c r="AA10" i="6"/>
  <c r="AE10" i="6" s="1"/>
  <c r="AL10" i="6" s="1"/>
  <c r="AA13" i="6"/>
  <c r="AE13" i="6" s="1"/>
  <c r="AL13" i="6" s="1"/>
  <c r="AC10" i="6"/>
  <c r="AG10" i="6" s="1"/>
  <c r="AN10" i="6" s="1"/>
  <c r="AB10" i="6"/>
  <c r="AF10" i="6" s="1"/>
  <c r="AM10" i="6" s="1"/>
  <c r="AB13" i="6"/>
  <c r="AF13" i="6" s="1"/>
  <c r="AM13" i="6" s="1"/>
  <c r="AC13" i="6"/>
  <c r="AG13" i="6" s="1"/>
  <c r="AN13" i="6" s="1"/>
  <c r="AA8" i="4" l="1"/>
  <c r="AE8" i="4" s="1"/>
  <c r="AL8" i="4" s="1"/>
  <c r="AA12" i="4"/>
  <c r="AE12" i="4" s="1"/>
  <c r="AL12" i="4" s="1"/>
  <c r="AA16" i="4"/>
  <c r="AE16" i="4" s="1"/>
  <c r="AL16" i="4" s="1"/>
  <c r="AA20" i="4"/>
  <c r="AE20" i="4" s="1"/>
  <c r="AL20" i="4" s="1"/>
  <c r="AC7" i="4"/>
  <c r="AG7" i="4" s="1"/>
  <c r="Z17" i="4"/>
  <c r="AD1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20" i="4"/>
  <c r="AF20" i="4" s="1"/>
  <c r="AM20" i="4" s="1"/>
  <c r="AB7" i="4"/>
  <c r="Z18" i="4"/>
  <c r="AD18" i="4" s="1"/>
  <c r="AC8" i="4"/>
  <c r="AG8" i="4" s="1"/>
  <c r="AN8" i="4" s="1"/>
  <c r="AC12" i="4"/>
  <c r="AG12" i="4" s="1"/>
  <c r="AN12" i="4" s="1"/>
  <c r="AC16" i="4"/>
  <c r="AG16" i="4" s="1"/>
  <c r="AN16" i="4" s="1"/>
  <c r="AC20" i="4"/>
  <c r="AG20" i="4" s="1"/>
  <c r="AN20" i="4" s="1"/>
  <c r="AA7" i="4"/>
  <c r="AE7" i="4" s="1"/>
  <c r="Z19" i="4"/>
  <c r="AD19" i="4" s="1"/>
  <c r="AC19" i="4"/>
  <c r="AG19" i="4" s="1"/>
  <c r="AN19" i="4" s="1"/>
  <c r="AA9" i="4"/>
  <c r="AE9" i="4" s="1"/>
  <c r="AL9" i="4" s="1"/>
  <c r="AA13" i="4"/>
  <c r="AE13" i="4" s="1"/>
  <c r="AL13" i="4" s="1"/>
  <c r="AA17" i="4"/>
  <c r="AE17" i="4" s="1"/>
  <c r="AL17" i="4" s="1"/>
  <c r="Z8" i="4"/>
  <c r="AD8" i="4" s="1"/>
  <c r="Z20" i="4"/>
  <c r="AD20" i="4" s="1"/>
  <c r="AB9" i="4"/>
  <c r="AF9" i="4" s="1"/>
  <c r="AM9" i="4" s="1"/>
  <c r="AB13" i="4"/>
  <c r="AF13" i="4" s="1"/>
  <c r="AM13" i="4" s="1"/>
  <c r="AB17" i="4"/>
  <c r="AF17" i="4" s="1"/>
  <c r="AM17" i="4" s="1"/>
  <c r="Z9" i="4"/>
  <c r="AD9" i="4" s="1"/>
  <c r="AC9" i="4"/>
  <c r="AG9" i="4" s="1"/>
  <c r="AN9" i="4" s="1"/>
  <c r="AC13" i="4"/>
  <c r="AG13" i="4" s="1"/>
  <c r="AN13" i="4" s="1"/>
  <c r="AC17" i="4"/>
  <c r="AG17" i="4" s="1"/>
  <c r="AN17" i="4" s="1"/>
  <c r="Z10" i="4"/>
  <c r="AD10" i="4" s="1"/>
  <c r="AA10" i="4"/>
  <c r="AE10" i="4" s="1"/>
  <c r="AL10" i="4" s="1"/>
  <c r="AA14" i="4"/>
  <c r="AE14" i="4" s="1"/>
  <c r="AL14" i="4" s="1"/>
  <c r="AA18" i="4"/>
  <c r="AE18" i="4" s="1"/>
  <c r="AL18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AB18" i="4"/>
  <c r="AF18" i="4" s="1"/>
  <c r="AM18" i="4" s="1"/>
  <c r="Z12" i="4"/>
  <c r="AD12" i="4" s="1"/>
  <c r="Z7" i="4"/>
  <c r="AD7" i="4" s="1"/>
  <c r="AC10" i="4"/>
  <c r="AG10" i="4" s="1"/>
  <c r="AN10" i="4" s="1"/>
  <c r="AC14" i="4"/>
  <c r="AG14" i="4" s="1"/>
  <c r="AN14" i="4" s="1"/>
  <c r="AC18" i="4"/>
  <c r="AG18" i="4" s="1"/>
  <c r="AN18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AA19" i="4"/>
  <c r="AE19" i="4" s="1"/>
  <c r="AL19" i="4" s="1"/>
  <c r="Z14" i="4"/>
  <c r="AD14" i="4" s="1"/>
  <c r="AB11" i="4"/>
  <c r="AF11" i="4" s="1"/>
  <c r="AM11" i="4" s="1"/>
  <c r="AB15" i="4"/>
  <c r="AF15" i="4" s="1"/>
  <c r="AM15" i="4" s="1"/>
  <c r="AB19" i="4"/>
  <c r="AF19" i="4" s="1"/>
  <c r="AM19" i="4" s="1"/>
  <c r="Z15" i="4"/>
  <c r="AD15" i="4" s="1"/>
  <c r="D25" i="15"/>
  <c r="D27" i="15"/>
  <c r="H8" i="15" s="1"/>
  <c r="J8" i="15" s="1"/>
  <c r="D22" i="15"/>
  <c r="D21" i="15"/>
  <c r="D26" i="15"/>
  <c r="D23" i="15"/>
  <c r="D20" i="15"/>
  <c r="D24" i="15"/>
  <c r="AK13" i="6"/>
  <c r="E25" i="15" s="1"/>
  <c r="AK15" i="6"/>
  <c r="E27" i="15" s="1"/>
  <c r="I8" i="15" s="1"/>
  <c r="K8" i="15" s="1"/>
  <c r="AC16" i="6"/>
  <c r="AG7" i="6"/>
  <c r="AK10" i="6"/>
  <c r="E22" i="15" s="1"/>
  <c r="AA16" i="6"/>
  <c r="AE7" i="6"/>
  <c r="AB16" i="6"/>
  <c r="AF7" i="6"/>
  <c r="Z16" i="6"/>
  <c r="AD7" i="6"/>
  <c r="AK11" i="6"/>
  <c r="E23" i="15" s="1"/>
  <c r="AK9" i="6"/>
  <c r="E21" i="15" s="1"/>
  <c r="AK8" i="6"/>
  <c r="E20" i="15" s="1"/>
  <c r="AK14" i="6"/>
  <c r="E26" i="15" s="1"/>
  <c r="AK12" i="6"/>
  <c r="E24" i="15" s="1"/>
  <c r="D17" i="15" l="1"/>
  <c r="D16" i="15"/>
  <c r="D19" i="15"/>
  <c r="AK14" i="4"/>
  <c r="E12" i="15" s="1"/>
  <c r="D12" i="15"/>
  <c r="AK13" i="4"/>
  <c r="E11" i="15" s="1"/>
  <c r="D11" i="15"/>
  <c r="AK15" i="4"/>
  <c r="E13" i="15" s="1"/>
  <c r="D13" i="15"/>
  <c r="AK16" i="4"/>
  <c r="E14" i="15" s="1"/>
  <c r="D14" i="15"/>
  <c r="AK9" i="4"/>
  <c r="E7" i="15" s="1"/>
  <c r="D7" i="15"/>
  <c r="AK12" i="4"/>
  <c r="E10" i="15" s="1"/>
  <c r="D10" i="15"/>
  <c r="AK11" i="4"/>
  <c r="E9" i="15" s="1"/>
  <c r="D9" i="15"/>
  <c r="AK10" i="4"/>
  <c r="E8" i="15" s="1"/>
  <c r="D8" i="15"/>
  <c r="D6" i="15"/>
  <c r="D15" i="15"/>
  <c r="D18" i="15"/>
  <c r="AK18" i="4"/>
  <c r="E16" i="15" s="1"/>
  <c r="AK17" i="4"/>
  <c r="E15" i="15" s="1"/>
  <c r="AK19" i="4"/>
  <c r="E17" i="15" s="1"/>
  <c r="AK20" i="4"/>
  <c r="E18" i="15" s="1"/>
  <c r="AB21" i="4"/>
  <c r="AF7" i="4"/>
  <c r="AF21" i="4" s="1"/>
  <c r="AA21" i="4"/>
  <c r="AK8" i="4"/>
  <c r="AC21" i="4"/>
  <c r="Z21" i="4"/>
  <c r="AO9" i="6"/>
  <c r="AO11" i="6"/>
  <c r="AO8" i="6"/>
  <c r="AG21" i="4"/>
  <c r="AN7" i="4"/>
  <c r="AN21" i="4" s="1"/>
  <c r="AW7" i="4" s="1"/>
  <c r="AW8" i="4" s="1"/>
  <c r="AD16" i="6"/>
  <c r="AK7" i="6"/>
  <c r="AO10" i="6"/>
  <c r="AD21" i="4"/>
  <c r="AK7" i="4"/>
  <c r="AO12" i="6"/>
  <c r="AF16" i="6"/>
  <c r="AM7" i="6"/>
  <c r="AM16" i="6" s="1"/>
  <c r="AV7" i="6" s="1"/>
  <c r="AV8" i="6" s="1"/>
  <c r="AE16" i="6"/>
  <c r="AL7" i="6"/>
  <c r="AL16" i="6" s="1"/>
  <c r="AU7" i="6" s="1"/>
  <c r="AU8" i="6" s="1"/>
  <c r="AG16" i="6"/>
  <c r="AN7" i="6"/>
  <c r="AN16" i="6" s="1"/>
  <c r="AW7" i="6" s="1"/>
  <c r="AW8" i="6" s="1"/>
  <c r="AO13" i="6"/>
  <c r="AE21" i="4"/>
  <c r="AL7" i="4"/>
  <c r="AL21" i="4" s="1"/>
  <c r="AU7" i="4" s="1"/>
  <c r="AU8" i="4" s="1"/>
  <c r="AO14" i="6"/>
  <c r="AO15" i="6"/>
  <c r="I6" i="15" l="1"/>
  <c r="H9" i="15"/>
  <c r="J9" i="15" s="1"/>
  <c r="I9" i="15"/>
  <c r="H6" i="15"/>
  <c r="J6" i="15" s="1"/>
  <c r="AO13" i="4"/>
  <c r="C17" i="2" s="1"/>
  <c r="D17" i="2" s="1"/>
  <c r="E17" i="2" s="1"/>
  <c r="AO11" i="4"/>
  <c r="C15" i="2" s="1"/>
  <c r="D15" i="2" s="1"/>
  <c r="E15" i="2" s="1"/>
  <c r="H5" i="15"/>
  <c r="AO15" i="4"/>
  <c r="C19" i="2" s="1"/>
  <c r="F19" i="2" s="1"/>
  <c r="AO10" i="4"/>
  <c r="C14" i="2" s="1"/>
  <c r="D14" i="2" s="1"/>
  <c r="E14" i="2" s="1"/>
  <c r="AO14" i="4"/>
  <c r="C18" i="2" s="1"/>
  <c r="D18" i="2" s="1"/>
  <c r="E18" i="2" s="1"/>
  <c r="AO16" i="4"/>
  <c r="C20" i="2" s="1"/>
  <c r="F20" i="2" s="1"/>
  <c r="E19" i="15"/>
  <c r="AO9" i="4"/>
  <c r="C13" i="2" s="1"/>
  <c r="D13" i="2" s="1"/>
  <c r="E13" i="2" s="1"/>
  <c r="AO8" i="4"/>
  <c r="C12" i="2" s="1"/>
  <c r="D12" i="2" s="1"/>
  <c r="E12" i="2" s="1"/>
  <c r="E6" i="15"/>
  <c r="D5" i="15"/>
  <c r="H7" i="15" s="1"/>
  <c r="J7" i="15" s="1"/>
  <c r="AO12" i="4"/>
  <c r="C16" i="2" s="1"/>
  <c r="D16" i="2" s="1"/>
  <c r="E16" i="2" s="1"/>
  <c r="AO20" i="4"/>
  <c r="C24" i="2" s="1"/>
  <c r="AO19" i="4"/>
  <c r="AO17" i="4"/>
  <c r="AO18" i="4"/>
  <c r="C22" i="2" s="1"/>
  <c r="AM7" i="4"/>
  <c r="AM21" i="4" s="1"/>
  <c r="AV7" i="4" s="1"/>
  <c r="AV8" i="4" s="1"/>
  <c r="C34" i="2"/>
  <c r="AP12" i="6"/>
  <c r="AQ12" i="6" s="1"/>
  <c r="AP11" i="6"/>
  <c r="AQ11" i="6" s="1"/>
  <c r="C33" i="2"/>
  <c r="AP15" i="6"/>
  <c r="AQ15" i="6" s="1"/>
  <c r="C37" i="2"/>
  <c r="AP13" i="6"/>
  <c r="AQ13" i="6" s="1"/>
  <c r="C35" i="2"/>
  <c r="AP9" i="6"/>
  <c r="AQ9" i="6" s="1"/>
  <c r="C31" i="2"/>
  <c r="AP10" i="6"/>
  <c r="AQ10" i="6" s="1"/>
  <c r="C32" i="2"/>
  <c r="AP8" i="6"/>
  <c r="AQ8" i="6" s="1"/>
  <c r="C30" i="2"/>
  <c r="AP14" i="6"/>
  <c r="AQ14" i="6" s="1"/>
  <c r="C36" i="2"/>
  <c r="AK16" i="6"/>
  <c r="AT7" i="6" s="1"/>
  <c r="AT8" i="6" s="1"/>
  <c r="AT10" i="6" s="1"/>
  <c r="AO7" i="6"/>
  <c r="AK21" i="4"/>
  <c r="I5" i="15" l="1"/>
  <c r="H11" i="15"/>
  <c r="J11" i="15" s="1"/>
  <c r="D28" i="15"/>
  <c r="AP13" i="4"/>
  <c r="AQ13" i="4" s="1"/>
  <c r="F17" i="2"/>
  <c r="G17" i="2" s="1"/>
  <c r="H17" i="2" s="1"/>
  <c r="AP11" i="4"/>
  <c r="AQ11" i="4" s="1"/>
  <c r="AP10" i="4"/>
  <c r="AQ10" i="4" s="1"/>
  <c r="F15" i="2"/>
  <c r="G15" i="2" s="1"/>
  <c r="H15" i="2" s="1"/>
  <c r="F14" i="2"/>
  <c r="G14" i="2" s="1"/>
  <c r="H14" i="2" s="1"/>
  <c r="AP15" i="4"/>
  <c r="AQ15" i="4" s="1"/>
  <c r="D19" i="2"/>
  <c r="E19" i="2" s="1"/>
  <c r="F18" i="2"/>
  <c r="G18" i="2" s="1"/>
  <c r="H18" i="2" s="1"/>
  <c r="F12" i="2"/>
  <c r="G12" i="2" s="1"/>
  <c r="H12" i="2" s="1"/>
  <c r="AP9" i="4"/>
  <c r="AQ9" i="4" s="1"/>
  <c r="AP8" i="4"/>
  <c r="AQ8" i="4" s="1"/>
  <c r="F13" i="2"/>
  <c r="G13" i="2" s="1"/>
  <c r="H13" i="2" s="1"/>
  <c r="AP14" i="4"/>
  <c r="AQ14" i="4" s="1"/>
  <c r="AP16" i="4"/>
  <c r="AQ16" i="4" s="1"/>
  <c r="D20" i="2"/>
  <c r="E20" i="2" s="1"/>
  <c r="K9" i="15"/>
  <c r="F16" i="2"/>
  <c r="G16" i="2" s="1"/>
  <c r="H16" i="2" s="1"/>
  <c r="E5" i="15"/>
  <c r="I7" i="15" s="1"/>
  <c r="J5" i="15"/>
  <c r="K6" i="15"/>
  <c r="AP12" i="4"/>
  <c r="AQ12" i="4" s="1"/>
  <c r="D22" i="2"/>
  <c r="E22" i="2" s="1"/>
  <c r="F22" i="2"/>
  <c r="AP19" i="4"/>
  <c r="AQ19" i="4" s="1"/>
  <c r="C23" i="2"/>
  <c r="G20" i="2"/>
  <c r="H20" i="2" s="1"/>
  <c r="D24" i="2"/>
  <c r="E24" i="2" s="1"/>
  <c r="F24" i="2"/>
  <c r="AP17" i="4"/>
  <c r="AQ17" i="4" s="1"/>
  <c r="C21" i="2"/>
  <c r="G19" i="2"/>
  <c r="H19" i="2" s="1"/>
  <c r="AP20" i="4"/>
  <c r="AQ20" i="4" s="1"/>
  <c r="AP18" i="4"/>
  <c r="AQ18" i="4" s="1"/>
  <c r="AO7" i="4"/>
  <c r="AP7" i="4" s="1"/>
  <c r="F33" i="2"/>
  <c r="D33" i="2"/>
  <c r="E33" i="2" s="1"/>
  <c r="AT7" i="4"/>
  <c r="AT8" i="4" s="1"/>
  <c r="AT10" i="4" s="1"/>
  <c r="F37" i="2"/>
  <c r="D37" i="2"/>
  <c r="E37" i="2" s="1"/>
  <c r="F31" i="2"/>
  <c r="D31" i="2"/>
  <c r="E31" i="2" s="1"/>
  <c r="AO16" i="6"/>
  <c r="AP7" i="6"/>
  <c r="AP16" i="6" s="1"/>
  <c r="C29" i="2"/>
  <c r="F30" i="2"/>
  <c r="D30" i="2"/>
  <c r="E30" i="2" s="1"/>
  <c r="F34" i="2"/>
  <c r="D34" i="2"/>
  <c r="E34" i="2" s="1"/>
  <c r="AT12" i="6"/>
  <c r="AT14" i="6" s="1"/>
  <c r="AT11" i="6"/>
  <c r="D6" i="2"/>
  <c r="F36" i="2"/>
  <c r="D36" i="2"/>
  <c r="E36" i="2" s="1"/>
  <c r="F35" i="2"/>
  <c r="D35" i="2"/>
  <c r="E35" i="2" s="1"/>
  <c r="F32" i="2"/>
  <c r="D32" i="2"/>
  <c r="E32" i="2" s="1"/>
  <c r="E6" i="2" l="1"/>
  <c r="H13" i="15"/>
  <c r="L5" i="15" s="1"/>
  <c r="I11" i="15"/>
  <c r="K11" i="15" s="1"/>
  <c r="E28" i="15"/>
  <c r="J13" i="15"/>
  <c r="K5" i="15"/>
  <c r="G22" i="2"/>
  <c r="H22" i="2" s="1"/>
  <c r="G24" i="2"/>
  <c r="H24" i="2" s="1"/>
  <c r="F21" i="2"/>
  <c r="D21" i="2"/>
  <c r="E21" i="2" s="1"/>
  <c r="D23" i="2"/>
  <c r="E23" i="2" s="1"/>
  <c r="F23" i="2"/>
  <c r="AP21" i="4"/>
  <c r="AO21" i="4"/>
  <c r="C11" i="2"/>
  <c r="AQ7" i="4"/>
  <c r="AQ21" i="4" s="1"/>
  <c r="AQ7" i="6"/>
  <c r="AQ16" i="6" s="1"/>
  <c r="AT13" i="6"/>
  <c r="AT15" i="6" s="1"/>
  <c r="F6" i="2"/>
  <c r="G6" i="2" s="1"/>
  <c r="C38" i="2"/>
  <c r="F29" i="2"/>
  <c r="D29" i="2"/>
  <c r="D38" i="2" s="1"/>
  <c r="G36" i="2"/>
  <c r="H36" i="2" s="1"/>
  <c r="AT11" i="4"/>
  <c r="D5" i="2"/>
  <c r="AT12" i="4"/>
  <c r="G31" i="2"/>
  <c r="H31" i="2" s="1"/>
  <c r="G30" i="2"/>
  <c r="H30" i="2" s="1"/>
  <c r="G37" i="2"/>
  <c r="H37" i="2" s="1"/>
  <c r="G35" i="2"/>
  <c r="H35" i="2" s="1"/>
  <c r="G32" i="2"/>
  <c r="H32" i="2" s="1"/>
  <c r="G34" i="2"/>
  <c r="H34" i="2" s="1"/>
  <c r="G33" i="2"/>
  <c r="H33" i="2" s="1"/>
  <c r="H6" i="2" l="1"/>
  <c r="I6" i="2" s="1"/>
  <c r="I13" i="15"/>
  <c r="M11" i="15" s="1"/>
  <c r="L9" i="15"/>
  <c r="L10" i="15"/>
  <c r="L7" i="15"/>
  <c r="L11" i="15"/>
  <c r="L6" i="15"/>
  <c r="L8" i="15"/>
  <c r="K7" i="15"/>
  <c r="K13" i="15" s="1"/>
  <c r="G23" i="2"/>
  <c r="H23" i="2" s="1"/>
  <c r="G21" i="2"/>
  <c r="H21" i="2" s="1"/>
  <c r="D11" i="2"/>
  <c r="D25" i="2" s="1"/>
  <c r="C25" i="2"/>
  <c r="F11" i="2"/>
  <c r="E5" i="2"/>
  <c r="E7" i="2" s="1"/>
  <c r="D7" i="2"/>
  <c r="E29" i="2"/>
  <c r="E38" i="2" s="1"/>
  <c r="AT13" i="4"/>
  <c r="AT15" i="4" s="1"/>
  <c r="F5" i="2"/>
  <c r="H5" i="2" s="1"/>
  <c r="G29" i="2"/>
  <c r="G38" i="2" s="1"/>
  <c r="F38" i="2"/>
  <c r="AT14" i="4"/>
  <c r="H7" i="2" l="1"/>
  <c r="I5" i="2"/>
  <c r="I7" i="2" s="1"/>
  <c r="M7" i="15"/>
  <c r="L13" i="15"/>
  <c r="M9" i="15"/>
  <c r="M6" i="15"/>
  <c r="M10" i="15"/>
  <c r="M8" i="15"/>
  <c r="M5" i="15"/>
  <c r="E11" i="2"/>
  <c r="E25" i="2" s="1"/>
  <c r="G11" i="2"/>
  <c r="G25" i="2" s="1"/>
  <c r="F25" i="2"/>
  <c r="I22" i="2"/>
  <c r="I24" i="2"/>
  <c r="I23" i="2"/>
  <c r="I11" i="2"/>
  <c r="H29" i="2"/>
  <c r="H38" i="2" s="1"/>
  <c r="I31" i="2"/>
  <c r="I15" i="2"/>
  <c r="I19" i="2"/>
  <c r="I16" i="2"/>
  <c r="I13" i="2"/>
  <c r="I14" i="2"/>
  <c r="I35" i="2"/>
  <c r="I33" i="2"/>
  <c r="I36" i="2"/>
  <c r="I37" i="2"/>
  <c r="I17" i="2"/>
  <c r="I32" i="2"/>
  <c r="I34" i="2"/>
  <c r="I12" i="2"/>
  <c r="I18" i="2"/>
  <c r="I20" i="2"/>
  <c r="I21" i="2"/>
  <c r="I30" i="2"/>
  <c r="I29" i="2"/>
  <c r="G5" i="2"/>
  <c r="G7" i="2" s="1"/>
  <c r="F7" i="2"/>
  <c r="F11" i="1" l="1"/>
  <c r="G11" i="1" s="1"/>
  <c r="M13" i="15"/>
  <c r="H11" i="2"/>
  <c r="H25" i="2" s="1"/>
  <c r="I25" i="2"/>
  <c r="I38" i="2"/>
</calcChain>
</file>

<file path=xl/sharedStrings.xml><?xml version="1.0" encoding="utf-8"?>
<sst xmlns="http://schemas.openxmlformats.org/spreadsheetml/2006/main" count="800" uniqueCount="328">
  <si>
    <t>PLANILHA DETALHADA DE FORMAÇÃO DE PREÇO</t>
  </si>
  <si>
    <t>ITEM</t>
  </si>
  <si>
    <t>DESCRIÇÃO DO SERVIÇO</t>
  </si>
  <si>
    <t>UN.</t>
  </si>
  <si>
    <t>QTE.</t>
  </si>
  <si>
    <t>PREÇO UNITÁRIO (R$)</t>
  </si>
  <si>
    <t>PREÇO ANUAL (R$)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</si>
  <si>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</si>
  <si>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</si>
  <si>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</si>
  <si>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</si>
  <si>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</si>
  <si>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</si>
  <si>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</si>
  <si>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</si>
  <si>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</si>
  <si>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</si>
  <si>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</si>
  <si>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</si>
  <si>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</si>
  <si>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</si>
  <si>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</si>
  <si>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</si>
  <si>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</si>
  <si>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</si>
  <si>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</si>
  <si>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</si>
  <si>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</si>
  <si>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</si>
  <si>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</si>
  <si>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</si>
  <si>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</si>
  <si>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</si>
  <si>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</si>
  <si>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</si>
  <si>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</si>
  <si>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</si>
  <si>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</si>
  <si>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</si>
  <si>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</si>
  <si>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</si>
  <si>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</si>
  <si>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</si>
  <si>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</si>
  <si>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</si>
  <si>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</si>
  <si>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</si>
  <si>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</si>
  <si>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</si>
  <si>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</si>
  <si>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</si>
  <si>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</si>
  <si>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</si>
  <si>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</si>
  <si>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</si>
  <si>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</si>
  <si>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</si>
  <si>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</si>
  <si>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</si>
  <si>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</si>
  <si>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</si>
  <si>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</si>
  <si>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</si>
  <si>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</si>
  <si>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</si>
  <si>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</si>
  <si>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</si>
  <si>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</si>
  <si>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</si>
  <si>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</si>
  <si>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</si>
  <si>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</si>
  <si>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</si>
  <si>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Custo por tipo de rotina</t>
  </si>
  <si>
    <t>Custo Anual por tipo de rotina</t>
  </si>
  <si>
    <t>Custo Anual Preventiva</t>
  </si>
  <si>
    <t>Custo Anual Corretiva</t>
  </si>
  <si>
    <t>Custo Médio Mensal Manutenção</t>
  </si>
  <si>
    <t>Custo Anual Manutenção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</si>
  <si>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</si>
  <si>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</si>
  <si>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</si>
  <si>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</si>
  <si>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</si>
  <si>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</si>
  <si>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</si>
  <si>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</si>
  <si>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</si>
  <si>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</si>
  <si>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</si>
  <si>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</si>
  <si>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</si>
  <si>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</si>
  <si>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</si>
  <si>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</si>
  <si>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</si>
  <si>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</si>
  <si>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</si>
  <si>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</si>
  <si>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</si>
  <si>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</si>
  <si>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</si>
  <si>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</si>
  <si>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</si>
  <si>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</si>
  <si>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</si>
  <si>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</si>
  <si>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</si>
  <si>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Pedágio (ida e volta)</t>
  </si>
  <si>
    <t>COMPOSIÇÃO CUSTO DO VEÍCULO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</si>
  <si>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</si>
  <si>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</si>
  <si>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</si>
  <si>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</si>
  <si>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</si>
  <si>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Tipo</t>
  </si>
  <si>
    <t>CHOR - CUSTOS HORÁRIOS DE MÁQUINAS E EQUIPAMENTOS</t>
  </si>
  <si>
    <t>Valor Não Desonerado</t>
  </si>
  <si>
    <t>Coeficiente</t>
  </si>
  <si>
    <t>C</t>
  </si>
  <si>
    <t>H</t>
  </si>
  <si>
    <t>1,0</t>
  </si>
  <si>
    <t>92140</t>
  </si>
  <si>
    <t>CAMINHONETE CABINE SIMPLES COM MOTOR 1.6 FLEX, CÂMBIO MANUAL, POTÊNCIA 101/104 CV, 2 PORTAS - DEPRECIAÇÃO. AF_11/2015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</si>
  <si>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</si>
  <si>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</si>
  <si>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</si>
  <si>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</si>
  <si>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</si>
  <si>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</si>
  <si>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</si>
  <si>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</si>
  <si>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92145 (SEM MOTORISTA)</t>
  </si>
  <si>
    <t>codigo</t>
  </si>
  <si>
    <t>92146</t>
  </si>
  <si>
    <t>CAMINHONETE CABINE SIMPLES COM MOTOR 1.6 FLEX, CÂMBIO MANUAL, POTÊNCIA 101/104 CV, 2 PORTAS - CHI DIURNO. AF_11/2015</t>
  </si>
  <si>
    <t>Composição ALTERADA SINAPI – 92146 (SEM MOTORISTA)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</si>
  <si>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</si>
  <si>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</si>
  <si>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</si>
  <si>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</si>
  <si>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</si>
  <si>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</si>
  <si>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</si>
  <si>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</si>
  <si>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</si>
  <si>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</si>
  <si>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NÃO</t>
  </si>
  <si>
    <t>SIM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</si>
  <si>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</si>
  <si>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</si>
  <si>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</si>
  <si>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</si>
  <si>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</si>
  <si>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</si>
  <si>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</si>
  <si>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</si>
  <si>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</si>
  <si>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</si>
  <si>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</si>
  <si>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</si>
  <si>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</si>
  <si>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</si>
  <si>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</si>
  <si>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</si>
  <si>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</si>
  <si>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</si>
  <si>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</si>
  <si>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</si>
  <si>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</si>
  <si>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</si>
  <si>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</si>
  <si>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</si>
  <si>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</si>
  <si>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</si>
  <si>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</si>
  <si>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</si>
  <si>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</si>
  <si>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</si>
  <si>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</si>
  <si>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</si>
  <si>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</si>
  <si>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</si>
  <si>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</si>
  <si>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</si>
  <si>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</si>
  <si>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</si>
  <si>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</si>
  <si>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POLO VII</t>
  </si>
  <si>
    <t>PORTO ALEGRE</t>
  </si>
  <si>
    <t>PELOTAS</t>
  </si>
  <si>
    <t>CANOAS</t>
  </si>
  <si>
    <t>APS CACHOEIRINHA</t>
  </si>
  <si>
    <t>Rua Campos Salles, 80, Vila Santo Angelo</t>
  </si>
  <si>
    <t>APS ESTEIO</t>
  </si>
  <si>
    <t>Rua General José Machado Lopes, 256, Centro</t>
  </si>
  <si>
    <t>APS GRAVATAÍ</t>
  </si>
  <si>
    <t>Rua Coronel Sarmento, 1321, Centro</t>
  </si>
  <si>
    <t>APS GUAÍBA</t>
  </si>
  <si>
    <t>Rua Sete de Setembro, 36, Centro</t>
  </si>
  <si>
    <t>CEDOCPREV CANOAS</t>
  </si>
  <si>
    <t>Rua Paes Leme, 300, Rio Branco</t>
  </si>
  <si>
    <t>DEPÓSITO ESTEIO</t>
  </si>
  <si>
    <t>Rua Olga Jancowski, 68, Três Portos</t>
  </si>
  <si>
    <t>GEX/APS CANOAS</t>
  </si>
  <si>
    <t>Av. Inconfidência, 778, Marechal Rondon</t>
  </si>
  <si>
    <t>APS CAMAQUÃ</t>
  </si>
  <si>
    <t>Av. Antonio Duro, 1130, Olaria</t>
  </si>
  <si>
    <t>APS CAPÃO DO LEÃO</t>
  </si>
  <si>
    <t>Av. Narciso Silva, 2220, Centro</t>
  </si>
  <si>
    <t>APS JAGUARÃO</t>
  </si>
  <si>
    <t>Av. 27 de Janeiro, 1556, Centro</t>
  </si>
  <si>
    <t>APS RIO GRANDE</t>
  </si>
  <si>
    <t>Rua General Bacelar, 97, Centro</t>
  </si>
  <si>
    <t>APS SANTA VITÓRIA DO PALMAR</t>
  </si>
  <si>
    <t>Rua João de Oliveira Rodrigues, 1797, Centro</t>
  </si>
  <si>
    <t>APS SÃO JOSÉ DO NORTE</t>
  </si>
  <si>
    <t>Rua Eng. Fernando Duprat da Silva, 607, Centro</t>
  </si>
  <si>
    <t>APS SÃO LOURENÇO DO SUL</t>
  </si>
  <si>
    <t>Rua Marechal Floriano, 2174, Centro</t>
  </si>
  <si>
    <t>APS TAPES</t>
  </si>
  <si>
    <t>Rua Getúlio Vargas / Sobreloja do BB</t>
  </si>
  <si>
    <t>GEX/APS PELOTAS</t>
  </si>
  <si>
    <t>Rua Almirante Barroso, 1883, Centro</t>
  </si>
  <si>
    <t>APS ALVORADA</t>
  </si>
  <si>
    <t>Av. Maringá, 1201</t>
  </si>
  <si>
    <t>APS PORTO ALEGRE- CENTRO</t>
  </si>
  <si>
    <t>Avenida Borges de Medeiros, nº 530, Centro</t>
  </si>
  <si>
    <t>APS PORTO ALEGRE-PARTENON</t>
  </si>
  <si>
    <t>Av. Bento Gonçalves, 867</t>
  </si>
  <si>
    <t>APS PORTO ALEGRE-SUL</t>
  </si>
  <si>
    <t>Estrada Vila Maria, 265</t>
  </si>
  <si>
    <t>CEDOCPREV PORTO ALEGRE</t>
  </si>
  <si>
    <t>Rua Marechal Andrea, 351 / Boa vista</t>
  </si>
  <si>
    <t>GEX PORTO ALEGRE</t>
  </si>
  <si>
    <t>Rua Jerônimo Coelho, 127</t>
  </si>
  <si>
    <t>IPASE PORTO ALEGRE</t>
  </si>
  <si>
    <t>Travessa Mário Cinco de Paus, 20</t>
  </si>
  <si>
    <t>Serviço de manutenção predial preventiva e corretiva por demanda, com fornecimento de materiais, peças e componentes, nos imóveis relacionados no Polo Regional VII.</t>
  </si>
  <si>
    <t>DESONERADA</t>
  </si>
  <si>
    <t>Preços pesquisados em 20/10/2023.</t>
  </si>
  <si>
    <t>* Tabela SINAPI Outubro/2023 (Não Desonerado)</t>
  </si>
  <si>
    <t>Oficial de Manutenção Predial</t>
  </si>
  <si>
    <t>Ajudante (ref. SINAPI/88241)</t>
  </si>
  <si>
    <t>(****) Fórmula para cálculo do custo do horista, com base no custo do mensalista (Livro Metodologias e Conceitos, página 82)</t>
  </si>
  <si>
    <t xml:space="preserve">(***) Fonte: SINAPI: Metodologias e Conceitos: Sistema Nacional de Pesquisa de Custos e Índices da Construção Civil / Caixa Econômica Federal. – 9ª Ed. – Brasília: CAIXA, 2023.
</t>
  </si>
  <si>
    <t>(**) Fonte: Livro SINAPI: Referências para Custos Horários e Encargos: Sistema Nacional de Pesquisa de Custos e Índices da Construção Civil / Caixa Econômica Federal. – 5ª Ed. – Brasília: CAIXA, 2022.</t>
  </si>
  <si>
    <t>(*) Descrição da categoria na CCT</t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</si>
  <si>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</si>
  <si>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</si>
  <si>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</si>
  <si>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</si>
  <si>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t>Cálculo custo do funcionário (***)</t>
  </si>
  <si>
    <t>Mensalista Não Desonerado</t>
  </si>
  <si>
    <t>Horista Não Desonerado</t>
  </si>
  <si>
    <t>Mensalista Desonerado</t>
  </si>
  <si>
    <t>Horista Desonerado</t>
  </si>
  <si>
    <t>Encargos Sociais (**) - (ES)
Apêndice 21: Encargos Sociais – Rio Grande do Sul</t>
  </si>
  <si>
    <t>Salário base (SB)</t>
  </si>
  <si>
    <t>Trabalhadores das indústrias da construção civil de Porto Alegre/RS e região</t>
  </si>
  <si>
    <t>Abrangência</t>
  </si>
  <si>
    <t>Data base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</si>
  <si>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</si>
  <si>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Convenção coletiva</t>
  </si>
  <si>
    <t>Oficial (*)</t>
  </si>
  <si>
    <t>Categoria</t>
  </si>
  <si>
    <t>RIO GRANDE DO SUL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</si>
  <si>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</si>
  <si>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</si>
  <si>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</si>
  <si>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10/2023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</si>
  <si>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</si>
  <si>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</si>
  <si>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</si>
  <si>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</si>
  <si>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</si>
  <si>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</si>
  <si>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</si>
  <si>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</si>
  <si>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</si>
  <si>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</si>
  <si>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</si>
  <si>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</si>
  <si>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</si>
  <si>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</si>
  <si>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</si>
  <si>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</si>
  <si>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</si>
  <si>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Subestação?</t>
  </si>
  <si>
    <t>Inclui eletrotécnico no deslocamento?</t>
  </si>
  <si>
    <t>Rio Grande do Sul</t>
  </si>
  <si>
    <t>Insumo*</t>
  </si>
  <si>
    <t>2454/AGETOP</t>
  </si>
  <si>
    <t>PERNOITE EM QUARTO SOLTEIRO C/ AR CONDICIONADO OU VENTILADOR</t>
  </si>
  <si>
    <t>UN</t>
  </si>
  <si>
    <t>* Tabela AGETOP CIVIL Agosto/2023.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</si>
  <si>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</si>
  <si>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</si>
  <si>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</si>
  <si>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</si>
  <si>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</si>
  <si>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</si>
  <si>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</si>
  <si>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</si>
  <si>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</si>
  <si>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</si>
  <si>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</si>
  <si>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</si>
  <si>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</si>
  <si>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</si>
  <si>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Valor Unitário Desonerado</t>
  </si>
  <si>
    <t>Valor Desonerado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</si>
  <si>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</si>
  <si>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</si>
  <si>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</si>
  <si>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</si>
  <si>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</si>
  <si>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</si>
  <si>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</si>
  <si>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</si>
  <si>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</si>
  <si>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</si>
  <si>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</si>
  <si>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</si>
  <si>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</si>
  <si>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</si>
  <si>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VALOR TOTAL DO ITEM 7: R$ 1.250.043,36 (Um milhão, duzentos e cinquenta mil e quarenta e três reais e trinta e seis centavos).</t>
  </si>
  <si>
    <t>ANEXO I – 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</si>
</sst>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_-* #,##0.00_-;\-* #,##0.00_-;_-* \-??_-;_-@_-"/>
    <numFmt numFmtId="172" formatCode="mm/yy"/>
    <numFmt numFmtId="173" formatCode="&quot;R$&quot;\ #,##0.00"/>
    <numFmt numFmtId="174" formatCode="0.000"/>
    <numFmt numFmtId="175" formatCode="d/m/yyyy"/>
  </numFmts>
  <fonts count="28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0"/>
      <color rgb="FFFF0000"/>
      <name val="Arial"/>
      <family val="2"/>
      <charset val="1"/>
    </font>
    <font>
      <vertAlign val="subscript"/>
      <sz val="1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b/>
      <sz val="10"/>
      <color rgb="FF000000"/>
      <name val="Arial"/>
      <family val="1"/>
      <charset val="1"/>
    </font>
  </fonts>
  <fills count="22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rgb="FF969696"/>
      </patternFill>
    </fill>
    <fill>
      <patternFill patternType="solid">
        <fgColor theme="6" tint="0.39997558519241921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171" fontId="19" fillId="0" borderId="0" applyBorder="0" applyProtection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6" borderId="0"/>
  </cellStyleXfs>
  <cellXfs count="348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2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165" fontId="5" fillId="0" borderId="1" xfId="2" applyFont="1" applyBorder="1" applyAlignment="1" applyProtection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9" fillId="0" borderId="0" xfId="0" applyFont="1"/>
    <xf numFmtId="168" fontId="5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165" fontId="5" fillId="0" borderId="1" xfId="2" applyFont="1" applyBorder="1" applyAlignment="1" applyProtection="1">
      <alignment vertical="center"/>
    </xf>
    <xf numFmtId="0" fontId="5" fillId="0" borderId="0" xfId="0" applyFont="1"/>
    <xf numFmtId="164" fontId="5" fillId="0" borderId="0" xfId="0" applyNumberFormat="1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5" applyFont="1" applyFill="1" applyBorder="1" applyAlignment="1">
      <alignment vertical="center" wrapText="1"/>
    </xf>
    <xf numFmtId="10" fontId="9" fillId="0" borderId="1" xfId="3" applyNumberFormat="1" applyBorder="1" applyAlignment="1" applyProtection="1">
      <alignment horizontal="center" vertical="center" wrapText="1"/>
    </xf>
    <xf numFmtId="0" fontId="9" fillId="4" borderId="1" xfId="5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/>
    <xf numFmtId="0" fontId="8" fillId="0" borderId="16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168" fontId="5" fillId="6" borderId="1" xfId="0" applyNumberFormat="1" applyFont="1" applyFill="1" applyBorder="1" applyAlignment="1">
      <alignment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65" fontId="5" fillId="6" borderId="1" xfId="2" applyFont="1" applyFill="1" applyBorder="1" applyAlignment="1" applyProtection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2" applyNumberFormat="1" applyFont="1" applyFill="1" applyBorder="1" applyAlignment="1" applyProtection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164" fontId="6" fillId="0" borderId="20" xfId="0" applyNumberFormat="1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164" fontId="8" fillId="0" borderId="20" xfId="0" applyNumberFormat="1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9" xfId="0" applyFont="1" applyBorder="1"/>
    <xf numFmtId="164" fontId="6" fillId="0" borderId="21" xfId="0" applyNumberFormat="1" applyFont="1" applyBorder="1" applyAlignment="1">
      <alignment vertical="center"/>
    </xf>
    <xf numFmtId="0" fontId="14" fillId="4" borderId="0" xfId="5" applyFont="1" applyFill="1" applyAlignment="1">
      <alignment horizontal="left" vertical="top" wrapText="1"/>
    </xf>
    <xf numFmtId="164" fontId="15" fillId="4" borderId="0" xfId="5" applyNumberFormat="1" applyFont="1" applyFill="1" applyAlignment="1">
      <alignment horizontal="left" vertical="top" wrapText="1"/>
    </xf>
    <xf numFmtId="0" fontId="13" fillId="4" borderId="20" xfId="5" applyFont="1" applyFill="1" applyBorder="1" applyAlignment="1">
      <alignment horizontal="center" vertical="center" wrapText="1"/>
    </xf>
    <xf numFmtId="0" fontId="16" fillId="9" borderId="20" xfId="5" applyFont="1" applyFill="1" applyBorder="1" applyAlignment="1">
      <alignment horizontal="left" vertical="center" wrapText="1"/>
    </xf>
    <xf numFmtId="0" fontId="16" fillId="9" borderId="20" xfId="5" applyFont="1" applyFill="1" applyBorder="1" applyAlignment="1">
      <alignment horizontal="center" vertical="center" wrapText="1"/>
    </xf>
    <xf numFmtId="10" fontId="9" fillId="0" borderId="20" xfId="3" applyNumberFormat="1" applyBorder="1" applyAlignment="1">
      <alignment horizontal="center" vertical="center"/>
    </xf>
    <xf numFmtId="173" fontId="6" fillId="0" borderId="20" xfId="0" applyNumberFormat="1" applyFont="1" applyBorder="1" applyAlignment="1">
      <alignment vertical="center" wrapText="1"/>
    </xf>
    <xf numFmtId="0" fontId="7" fillId="8" borderId="20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 wrapText="1"/>
    </xf>
    <xf numFmtId="10" fontId="9" fillId="0" borderId="20" xfId="0" applyNumberFormat="1" applyFont="1" applyBorder="1" applyAlignment="1">
      <alignment horizontal="center" vertical="center" wrapText="1"/>
    </xf>
    <xf numFmtId="10" fontId="9" fillId="0" borderId="20" xfId="0" applyNumberFormat="1" applyFont="1" applyBorder="1" applyAlignment="1">
      <alignment vertical="center" wrapText="1"/>
    </xf>
    <xf numFmtId="167" fontId="9" fillId="0" borderId="20" xfId="0" applyNumberFormat="1" applyFont="1" applyBorder="1" applyAlignment="1">
      <alignment vertical="center" wrapText="1"/>
    </xf>
    <xf numFmtId="173" fontId="5" fillId="8" borderId="20" xfId="0" applyNumberFormat="1" applyFont="1" applyFill="1" applyBorder="1" applyAlignment="1">
      <alignment vertical="center" wrapText="1"/>
    </xf>
    <xf numFmtId="167" fontId="8" fillId="8" borderId="20" xfId="0" applyNumberFormat="1" applyFont="1" applyFill="1" applyBorder="1" applyAlignment="1">
      <alignment vertical="center" wrapText="1"/>
    </xf>
    <xf numFmtId="10" fontId="8" fillId="8" borderId="20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3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10" fontId="20" fillId="6" borderId="13" xfId="0" applyNumberFormat="1" applyFont="1" applyFill="1" applyBorder="1" applyAlignment="1">
      <alignment horizontal="center" vertical="top" wrapText="1"/>
    </xf>
    <xf numFmtId="10" fontId="20" fillId="6" borderId="23" xfId="0" applyNumberFormat="1" applyFont="1" applyFill="1" applyBorder="1" applyAlignment="1">
      <alignment horizontal="center" vertical="top" wrapText="1"/>
    </xf>
    <xf numFmtId="10" fontId="20" fillId="6" borderId="15" xfId="0" applyNumberFormat="1" applyFont="1" applyFill="1" applyBorder="1" applyAlignment="1">
      <alignment horizontal="center" vertical="top" wrapText="1"/>
    </xf>
    <xf numFmtId="0" fontId="23" fillId="0" borderId="0" xfId="0" applyFont="1" applyAlignment="1">
      <alignment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vertical="center" wrapText="1"/>
    </xf>
    <xf numFmtId="2" fontId="5" fillId="0" borderId="1" xfId="1" applyNumberFormat="1" applyFont="1" applyBorder="1" applyAlignment="1" applyProtection="1">
      <alignment horizontal="center" vertical="center"/>
    </xf>
    <xf numFmtId="164" fontId="6" fillId="0" borderId="0" xfId="8" applyNumberFormat="1" applyFont="1" applyAlignment="1">
      <alignment vertical="center"/>
    </xf>
    <xf numFmtId="0" fontId="7" fillId="6" borderId="1" xfId="0" applyFont="1" applyFill="1" applyBorder="1" applyAlignment="1">
      <alignment vertical="center" wrapText="1"/>
    </xf>
    <xf numFmtId="2" fontId="16" fillId="9" borderId="20" xfId="5" applyNumberFormat="1" applyFont="1" applyFill="1" applyBorder="1" applyAlignment="1">
      <alignment horizontal="center" vertical="center" wrapText="1"/>
    </xf>
    <xf numFmtId="174" fontId="16" fillId="9" borderId="20" xfId="5" applyNumberFormat="1" applyFont="1" applyFill="1" applyBorder="1" applyAlignment="1">
      <alignment horizontal="center" vertical="center" wrapText="1"/>
    </xf>
    <xf numFmtId="170" fontId="5" fillId="6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6" fillId="0" borderId="23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0" fontId="6" fillId="0" borderId="1" xfId="8" applyNumberFormat="1" applyFont="1" applyBorder="1" applyAlignment="1">
      <alignment horizontal="center" vertical="center"/>
    </xf>
    <xf numFmtId="170" fontId="5" fillId="0" borderId="1" xfId="8" applyNumberFormat="1" applyFont="1" applyBorder="1" applyAlignment="1">
      <alignment horizontal="center" vertical="center"/>
    </xf>
    <xf numFmtId="3" fontId="5" fillId="0" borderId="1" xfId="8" applyNumberFormat="1" applyFont="1" applyBorder="1" applyAlignment="1">
      <alignment horizontal="center" vertical="center"/>
    </xf>
    <xf numFmtId="4" fontId="5" fillId="0" borderId="2" xfId="8" applyNumberFormat="1" applyFont="1" applyBorder="1" applyAlignment="1">
      <alignment horizontal="center" vertical="center"/>
    </xf>
    <xf numFmtId="165" fontId="5" fillId="0" borderId="1" xfId="9" applyFont="1" applyBorder="1" applyAlignment="1" applyProtection="1">
      <alignment horizontal="center" vertical="center"/>
    </xf>
    <xf numFmtId="3" fontId="20" fillId="0" borderId="1" xfId="8" applyNumberFormat="1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10" applyAlignment="1">
      <alignment vertical="center"/>
    </xf>
    <xf numFmtId="2" fontId="9" fillId="0" borderId="0" xfId="10" applyNumberFormat="1" applyAlignment="1">
      <alignment vertical="center"/>
    </xf>
    <xf numFmtId="4" fontId="9" fillId="0" borderId="0" xfId="10" applyNumberFormat="1" applyAlignment="1">
      <alignment vertical="center"/>
    </xf>
    <xf numFmtId="164" fontId="21" fillId="12" borderId="1" xfId="10" applyNumberFormat="1" applyFont="1" applyFill="1" applyBorder="1" applyAlignment="1">
      <alignment vertical="center"/>
    </xf>
    <xf numFmtId="0" fontId="9" fillId="0" borderId="1" xfId="10" applyBorder="1" applyAlignment="1">
      <alignment vertical="center"/>
    </xf>
    <xf numFmtId="164" fontId="9" fillId="0" borderId="1" xfId="10" applyNumberFormat="1" applyBorder="1" applyAlignment="1">
      <alignment vertical="center"/>
    </xf>
    <xf numFmtId="0" fontId="8" fillId="0" borderId="1" xfId="10" applyFont="1" applyBorder="1" applyAlignment="1">
      <alignment vertical="center"/>
    </xf>
    <xf numFmtId="0" fontId="9" fillId="13" borderId="1" xfId="10" applyFill="1" applyBorder="1" applyAlignment="1">
      <alignment vertical="center"/>
    </xf>
    <xf numFmtId="10" fontId="9" fillId="0" borderId="1" xfId="10" applyNumberFormat="1" applyBorder="1" applyAlignment="1">
      <alignment vertical="center"/>
    </xf>
    <xf numFmtId="0" fontId="8" fillId="0" borderId="1" xfId="10" applyFont="1" applyBorder="1" applyAlignment="1">
      <alignment vertical="center" wrapText="1"/>
    </xf>
    <xf numFmtId="164" fontId="9" fillId="13" borderId="1" xfId="10" applyNumberFormat="1" applyFill="1" applyBorder="1" applyAlignment="1">
      <alignment horizontal="center" vertical="center" wrapText="1"/>
    </xf>
    <xf numFmtId="164" fontId="9" fillId="14" borderId="1" xfId="10" applyNumberFormat="1" applyFill="1" applyBorder="1" applyAlignment="1">
      <alignment horizontal="center" vertical="center" wrapText="1"/>
    </xf>
    <xf numFmtId="175" fontId="9" fillId="14" borderId="1" xfId="10" applyNumberFormat="1" applyFill="1" applyBorder="1" applyAlignment="1">
      <alignment horizontal="center" vertical="center" wrapText="1"/>
    </xf>
    <xf numFmtId="0" fontId="8" fillId="15" borderId="1" xfId="10" applyFont="1" applyFill="1" applyBorder="1" applyAlignment="1">
      <alignment horizontal="center" vertical="center" wrapText="1"/>
    </xf>
    <xf numFmtId="0" fontId="9" fillId="0" borderId="0" xfId="10"/>
    <xf numFmtId="0" fontId="14" fillId="14" borderId="0" xfId="11" applyFont="1" applyFill="1" applyAlignment="1">
      <alignment horizontal="left" vertical="top" wrapText="1"/>
    </xf>
    <xf numFmtId="164" fontId="15" fillId="14" borderId="0" xfId="11" applyNumberFormat="1" applyFont="1" applyFill="1" applyAlignment="1">
      <alignment horizontal="left" vertical="top" wrapText="1"/>
    </xf>
    <xf numFmtId="0" fontId="13" fillId="14" borderId="1" xfId="11" applyFont="1" applyFill="1" applyBorder="1" applyAlignment="1">
      <alignment horizontal="center" vertical="center" wrapText="1"/>
    </xf>
    <xf numFmtId="0" fontId="16" fillId="14" borderId="1" xfId="11" applyFont="1" applyFill="1" applyBorder="1" applyAlignment="1">
      <alignment horizontal="center" vertical="center" wrapText="1"/>
    </xf>
    <xf numFmtId="2" fontId="16" fillId="0" borderId="1" xfId="11" applyNumberFormat="1" applyFont="1" applyFill="1" applyBorder="1" applyAlignment="1">
      <alignment horizontal="center" vertical="center" wrapText="1"/>
    </xf>
    <xf numFmtId="2" fontId="16" fillId="14" borderId="1" xfId="11" applyNumberFormat="1" applyFont="1" applyFill="1" applyBorder="1" applyAlignment="1">
      <alignment horizontal="center" vertical="center" wrapText="1"/>
    </xf>
    <xf numFmtId="173" fontId="16" fillId="14" borderId="1" xfId="11" applyNumberFormat="1" applyFont="1" applyFill="1" applyBorder="1" applyAlignment="1">
      <alignment horizontal="center" vertical="center" wrapText="1"/>
    </xf>
    <xf numFmtId="0" fontId="12" fillId="0" borderId="0" xfId="10" applyFont="1" applyAlignment="1">
      <alignment wrapText="1"/>
    </xf>
    <xf numFmtId="0" fontId="15" fillId="14" borderId="1" xfId="11" applyFont="1" applyFill="1" applyBorder="1" applyAlignment="1">
      <alignment horizontal="center" vertical="center" wrapText="1"/>
    </xf>
    <xf numFmtId="2" fontId="15" fillId="0" borderId="1" xfId="11" applyNumberFormat="1" applyFont="1" applyFill="1" applyBorder="1" applyAlignment="1">
      <alignment horizontal="center" vertical="center" wrapText="1"/>
    </xf>
    <xf numFmtId="2" fontId="15" fillId="14" borderId="1" xfId="11" applyNumberFormat="1" applyFont="1" applyFill="1" applyBorder="1" applyAlignment="1">
      <alignment horizontal="center" vertical="center" wrapText="1"/>
    </xf>
    <xf numFmtId="173" fontId="15" fillId="14" borderId="1" xfId="11" applyNumberFormat="1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vertical="center" wrapText="1"/>
    </xf>
    <xf numFmtId="164" fontId="20" fillId="0" borderId="22" xfId="0" applyNumberFormat="1" applyFont="1" applyBorder="1" applyAlignment="1">
      <alignment vertical="center"/>
    </xf>
    <xf numFmtId="0" fontId="8" fillId="19" borderId="1" xfId="10" applyFont="1" applyFill="1" applyBorder="1" applyAlignment="1">
      <alignment horizontal="center" vertical="center" wrapText="1"/>
    </xf>
    <xf numFmtId="0" fontId="9" fillId="20" borderId="1" xfId="10" applyFill="1" applyBorder="1" applyAlignment="1">
      <alignment vertical="center"/>
    </xf>
    <xf numFmtId="164" fontId="9" fillId="20" borderId="1" xfId="10" applyNumberFormat="1" applyFill="1" applyBorder="1" applyAlignment="1">
      <alignment horizontal="center" vertical="center" wrapText="1"/>
    </xf>
    <xf numFmtId="0" fontId="9" fillId="0" borderId="1" xfId="10" applyBorder="1" applyAlignment="1">
      <alignment vertical="center" wrapText="1"/>
    </xf>
    <xf numFmtId="0" fontId="0" fillId="0" borderId="1" xfId="10" applyFont="1" applyBorder="1" applyAlignment="1">
      <alignment vertical="center"/>
    </xf>
    <xf numFmtId="164" fontId="21" fillId="21" borderId="1" xfId="10" applyNumberFormat="1" applyFont="1" applyFill="1" applyBorder="1" applyAlignment="1">
      <alignment vertical="center"/>
    </xf>
    <xf numFmtId="173" fontId="9" fillId="0" borderId="0" xfId="10" applyNumberFormat="1" applyAlignment="1">
      <alignment vertical="center"/>
    </xf>
    <xf numFmtId="173" fontId="9" fillId="0" borderId="0" xfId="10" applyNumberForma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8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1" fillId="8" borderId="9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/>
    </xf>
    <xf numFmtId="170" fontId="6" fillId="0" borderId="1" xfId="8" applyNumberFormat="1" applyFont="1" applyBorder="1" applyAlignment="1">
      <alignment horizontal="center" vertical="center"/>
    </xf>
    <xf numFmtId="170" fontId="5" fillId="0" borderId="1" xfId="8" applyNumberFormat="1" applyFont="1" applyBorder="1" applyAlignment="1">
      <alignment horizontal="center" vertical="center"/>
    </xf>
    <xf numFmtId="3" fontId="6" fillId="0" borderId="1" xfId="8" applyNumberFormat="1" applyFont="1" applyBorder="1" applyAlignment="1">
      <alignment horizontal="center" vertical="center"/>
    </xf>
    <xf numFmtId="3" fontId="5" fillId="0" borderId="1" xfId="8" applyNumberFormat="1" applyFont="1" applyBorder="1" applyAlignment="1">
      <alignment horizontal="center" vertical="center"/>
    </xf>
    <xf numFmtId="4" fontId="5" fillId="0" borderId="2" xfId="8" applyNumberFormat="1" applyFont="1" applyBorder="1" applyAlignment="1">
      <alignment horizontal="center" vertical="center"/>
    </xf>
    <xf numFmtId="4" fontId="5" fillId="0" borderId="23" xfId="8" applyNumberFormat="1" applyFont="1" applyBorder="1" applyAlignment="1">
      <alignment horizontal="center" vertical="center"/>
    </xf>
    <xf numFmtId="165" fontId="5" fillId="0" borderId="1" xfId="9" applyFont="1" applyBorder="1" applyAlignment="1" applyProtection="1">
      <alignment horizontal="center" vertical="center"/>
    </xf>
    <xf numFmtId="3" fontId="20" fillId="0" borderId="1" xfId="8" applyNumberFormat="1" applyFont="1" applyBorder="1" applyAlignment="1">
      <alignment horizontal="center" vertical="center"/>
    </xf>
    <xf numFmtId="0" fontId="6" fillId="0" borderId="2" xfId="8" applyFont="1" applyBorder="1" applyAlignment="1">
      <alignment horizontal="center" vertical="center"/>
    </xf>
    <xf numFmtId="0" fontId="6" fillId="0" borderId="23" xfId="8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164" fontId="6" fillId="0" borderId="1" xfId="8" applyNumberFormat="1" applyFont="1" applyBorder="1" applyAlignment="1">
      <alignment horizontal="left" vertical="center"/>
    </xf>
    <xf numFmtId="0" fontId="13" fillId="8" borderId="22" xfId="5" applyFont="1" applyFill="1" applyBorder="1" applyAlignment="1">
      <alignment horizontal="center" vertical="center" wrapText="1"/>
    </xf>
    <xf numFmtId="0" fontId="14" fillId="4" borderId="20" xfId="5" applyFont="1" applyFill="1" applyBorder="1" applyAlignment="1">
      <alignment horizontal="left" vertical="top" wrapText="1"/>
    </xf>
    <xf numFmtId="0" fontId="15" fillId="4" borderId="20" xfId="5" applyFont="1" applyFill="1" applyBorder="1" applyAlignment="1">
      <alignment horizontal="left" vertical="top" wrapText="1"/>
    </xf>
    <xf numFmtId="49" fontId="15" fillId="4" borderId="20" xfId="5" applyNumberFormat="1" applyFont="1" applyFill="1" applyBorder="1" applyAlignment="1">
      <alignment horizontal="left" vertical="top" wrapText="1"/>
    </xf>
    <xf numFmtId="0" fontId="14" fillId="4" borderId="20" xfId="5" applyFont="1" applyFill="1" applyBorder="1" applyAlignment="1">
      <alignment horizontal="left" vertical="center" wrapText="1"/>
    </xf>
    <xf numFmtId="173" fontId="22" fillId="4" borderId="17" xfId="5" applyNumberFormat="1" applyFont="1" applyFill="1" applyBorder="1" applyAlignment="1">
      <alignment horizontal="left" vertical="center" wrapText="1"/>
    </xf>
    <xf numFmtId="173" fontId="22" fillId="4" borderId="18" xfId="5" applyNumberFormat="1" applyFont="1" applyFill="1" applyBorder="1" applyAlignment="1">
      <alignment horizontal="left" vertical="center" wrapText="1"/>
    </xf>
    <xf numFmtId="173" fontId="22" fillId="4" borderId="19" xfId="5" applyNumberFormat="1" applyFont="1" applyFill="1" applyBorder="1" applyAlignment="1">
      <alignment horizontal="left" vertical="center" wrapText="1"/>
    </xf>
    <xf numFmtId="0" fontId="14" fillId="4" borderId="17" xfId="5" applyFont="1" applyFill="1" applyBorder="1" applyAlignment="1">
      <alignment horizontal="left" vertical="center" wrapText="1"/>
    </xf>
    <xf numFmtId="0" fontId="14" fillId="4" borderId="19" xfId="5" applyFont="1" applyFill="1" applyBorder="1" applyAlignment="1">
      <alignment horizontal="left" vertical="center" wrapText="1"/>
    </xf>
    <xf numFmtId="172" fontId="15" fillId="4" borderId="17" xfId="5" applyNumberFormat="1" applyFont="1" applyFill="1" applyBorder="1" applyAlignment="1">
      <alignment horizontal="left" vertical="center" wrapText="1"/>
    </xf>
    <xf numFmtId="0" fontId="15" fillId="4" borderId="18" xfId="5" applyFont="1" applyFill="1" applyBorder="1" applyAlignment="1">
      <alignment horizontal="left" vertical="center" wrapText="1"/>
    </xf>
    <xf numFmtId="0" fontId="15" fillId="4" borderId="19" xfId="5" applyFont="1" applyFill="1" applyBorder="1" applyAlignment="1">
      <alignment horizontal="left" vertical="center" wrapText="1"/>
    </xf>
    <xf numFmtId="0" fontId="15" fillId="4" borderId="17" xfId="5" applyFont="1" applyFill="1" applyBorder="1" applyAlignment="1">
      <alignment horizontal="left" vertical="center" wrapText="1"/>
    </xf>
    <xf numFmtId="0" fontId="13" fillId="8" borderId="20" xfId="5" applyFont="1" applyFill="1" applyBorder="1" applyAlignment="1">
      <alignment horizontal="center" vertical="center" wrapText="1"/>
    </xf>
    <xf numFmtId="0" fontId="13" fillId="8" borderId="17" xfId="5" applyFont="1" applyFill="1" applyBorder="1" applyAlignment="1">
      <alignment horizontal="center" vertical="center" wrapText="1"/>
    </xf>
    <xf numFmtId="0" fontId="13" fillId="8" borderId="18" xfId="5" applyFont="1" applyFill="1" applyBorder="1" applyAlignment="1">
      <alignment horizontal="center" vertical="center" wrapText="1"/>
    </xf>
    <xf numFmtId="0" fontId="13" fillId="8" borderId="19" xfId="5" applyFont="1" applyFill="1" applyBorder="1" applyAlignment="1">
      <alignment horizontal="center" vertical="center" wrapText="1"/>
    </xf>
    <xf numFmtId="164" fontId="22" fillId="4" borderId="20" xfId="5" applyNumberFormat="1" applyFont="1" applyFill="1" applyBorder="1" applyAlignment="1">
      <alignment horizontal="left" vertical="center"/>
    </xf>
    <xf numFmtId="0" fontId="9" fillId="0" borderId="0" xfId="10" applyAlignment="1">
      <alignment horizontal="left" vertical="center" wrapText="1"/>
    </xf>
    <xf numFmtId="0" fontId="13" fillId="17" borderId="1" xfId="11" applyFont="1" applyFill="1" applyBorder="1" applyAlignment="1">
      <alignment horizontal="center" vertical="center" wrapText="1"/>
    </xf>
    <xf numFmtId="0" fontId="13" fillId="17" borderId="2" xfId="11" applyFont="1" applyFill="1" applyBorder="1" applyAlignment="1">
      <alignment horizontal="center" vertical="center" wrapText="1"/>
    </xf>
    <xf numFmtId="0" fontId="14" fillId="14" borderId="1" xfId="11" applyFont="1" applyFill="1" applyBorder="1" applyAlignment="1">
      <alignment horizontal="left" vertical="top" wrapText="1"/>
    </xf>
    <xf numFmtId="0" fontId="15" fillId="14" borderId="1" xfId="11" applyFont="1" applyFill="1" applyBorder="1" applyAlignment="1">
      <alignment horizontal="left" vertical="top" wrapText="1"/>
    </xf>
    <xf numFmtId="0" fontId="14" fillId="14" borderId="1" xfId="11" applyFont="1" applyFill="1" applyBorder="1" applyAlignment="1">
      <alignment horizontal="left" vertical="center" wrapText="1"/>
    </xf>
    <xf numFmtId="164" fontId="27" fillId="14" borderId="1" xfId="11" applyNumberFormat="1" applyFont="1" applyFill="1" applyBorder="1" applyAlignment="1">
      <alignment horizontal="left" vertical="center"/>
    </xf>
    <xf numFmtId="49" fontId="15" fillId="14" borderId="1" xfId="11" applyNumberFormat="1" applyFont="1" applyFill="1" applyBorder="1" applyAlignment="1">
      <alignment horizontal="left" vertical="top" wrapText="1"/>
    </xf>
    <xf numFmtId="49" fontId="15" fillId="0" borderId="1" xfId="11" applyNumberFormat="1" applyFont="1" applyFill="1" applyBorder="1" applyAlignment="1">
      <alignment horizontal="left" vertical="top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7" fillId="8" borderId="20" xfId="0" applyFont="1" applyFill="1" applyBorder="1" applyAlignment="1">
      <alignment horizontal="center" vertical="center"/>
    </xf>
  </cellXfs>
  <cellStyles count="12">
    <cellStyle name="Moeda" xfId="2" builtinId="4"/>
    <cellStyle name="Moeda 2" xfId="9" xr:uid="{09612CD3-FC3F-4EDD-BD41-031F367619EC}"/>
    <cellStyle name="Normal" xfId="0" builtinId="0"/>
    <cellStyle name="Normal 2" xfId="4" xr:uid="{00000000-0005-0000-0000-000006000000}"/>
    <cellStyle name="Normal 3" xfId="8" xr:uid="{A8756AF5-BAEE-4AD3-83D8-6E9BCCC7B2CC}"/>
    <cellStyle name="Normal 4" xfId="10" xr:uid="{799471BC-85D6-488F-8CE5-B254F5C6CFDF}"/>
    <cellStyle name="Porcentagem" xfId="3" builtinId="5"/>
    <cellStyle name="Porcentagem 2" xfId="7" xr:uid="{2471ECED-5228-4FA0-BC27-754CCBE00305}"/>
    <cellStyle name="TableStyleLight1" xfId="5" xr:uid="{00000000-0005-0000-0000-000007000000}"/>
    <cellStyle name="TableStyleLight1 2" xfId="6" xr:uid="{EAC7E34F-9839-4F72-9D52-C69C174952DE}"/>
    <cellStyle name="TableStyleLight1 3" xfId="11" xr:uid="{B549DF3F-F012-4276-9DD7-62095167E17D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21</xdr:row>
      <xdr:rowOff>20880</xdr:rowOff>
    </xdr:from>
    <xdr:ext cx="6434842" cy="801720"/>
    <xdr:pic>
      <xdr:nvPicPr>
        <xdr:cNvPr id="2" name="Figura 1">
          <a:extLst>
            <a:ext uri="{FF2B5EF4-FFF2-40B4-BE49-F238E27FC236}">
              <a16:creationId xmlns:a16="http://schemas.microsoft.com/office/drawing/2014/main" id="{FE29893E-72C8-4A5D-86D8-8D9AC676A977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771525" y="3821355"/>
          <a:ext cx="6434842" cy="80172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142541</xdr:colOff>
      <xdr:row>25</xdr:row>
      <xdr:rowOff>61465</xdr:rowOff>
    </xdr:from>
    <xdr:ext cx="6222262" cy="630011"/>
    <xdr:pic>
      <xdr:nvPicPr>
        <xdr:cNvPr id="3" name="Figura 2">
          <a:extLst>
            <a:ext uri="{FF2B5EF4-FFF2-40B4-BE49-F238E27FC236}">
              <a16:creationId xmlns:a16="http://schemas.microsoft.com/office/drawing/2014/main" id="{1B8788CA-C50C-4209-8EFA-24E8D09E915F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914066" y="4585840"/>
          <a:ext cx="6222262" cy="630011"/>
        </a:xfrm>
        <a:prstGeom prst="rect">
          <a:avLst/>
        </a:prstGeom>
        <a:ln w="0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5" sqref="B5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7" ht="15" customHeight="1"/>
    <row r="2" spans="2:7" ht="103.7" customHeight="1">
      <c r="B2" s="216"/>
      <c r="C2" s="217"/>
      <c r="D2" s="217"/>
      <c r="E2" s="217"/>
      <c r="F2" s="217"/>
      <c r="G2" s="218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219" t="s">
        <v>327</v>
      </c>
      <c r="C4" s="220"/>
      <c r="D4" s="220"/>
      <c r="E4" s="220"/>
      <c r="F4" s="220"/>
      <c r="G4" s="221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222" t="s">
        <v>0</v>
      </c>
      <c r="C6" s="223"/>
      <c r="D6" s="223"/>
      <c r="E6" s="223"/>
      <c r="F6" s="223"/>
      <c r="G6" s="224"/>
    </row>
    <row r="7" spans="2:7" ht="20.100000000000001" customHeight="1">
      <c r="B7" s="229" t="s">
        <v>188</v>
      </c>
      <c r="C7" s="230"/>
      <c r="D7" s="230"/>
      <c r="E7" s="230"/>
      <c r="F7" s="230"/>
      <c r="G7" s="231"/>
    </row>
    <row r="8" spans="2:7" ht="20.100000000000001" customHeight="1">
      <c r="B8" s="225" t="s">
        <v>239</v>
      </c>
      <c r="C8" s="226"/>
      <c r="D8" s="226"/>
      <c r="E8" s="226"/>
      <c r="F8" s="226"/>
      <c r="G8" s="227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40" t="s">
        <v>1</v>
      </c>
      <c r="C10" s="140" t="s">
        <v>2</v>
      </c>
      <c r="D10" s="140" t="s">
        <v>3</v>
      </c>
      <c r="E10" s="140" t="s">
        <v>4</v>
      </c>
      <c r="F10" s="140" t="s">
        <v>5</v>
      </c>
      <c r="G10" s="140" t="s">
        <v>6</v>
      </c>
    </row>
    <row r="11" spans="2:7" ht="81.599999999999994" customHeight="1">
      <c r="B11" s="141">
        <v>7</v>
      </c>
      <c r="C11" s="142" t="s">
        <v>238</v>
      </c>
      <c r="D11" s="143" t="s">
        <v>7</v>
      </c>
      <c r="E11" s="143">
        <v>12</v>
      </c>
      <c r="F11" s="144">
        <f>ROUND(Resumo!D7+Resumo!F7,2)</f>
        <v>104170.28</v>
      </c>
      <c r="G11" s="145">
        <f>F11*12</f>
        <v>1250043.3599999999</v>
      </c>
    </row>
    <row r="12" spans="2:7" ht="42.4" customHeight="1">
      <c r="B12" s="228" t="s">
        <v>326</v>
      </c>
      <c r="C12" s="228"/>
      <c r="D12" s="228"/>
      <c r="E12" s="228"/>
      <c r="F12" s="228"/>
      <c r="G12" s="228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A04E4-9F46-4773-83A3-CBADDA6C628A}">
  <sheetPr>
    <tabColor rgb="FFFFFFFF"/>
  </sheetPr>
  <dimension ref="B1:K20"/>
  <sheetViews>
    <sheetView zoomScale="110" zoomScaleNormal="110" workbookViewId="0">
      <selection activeCell="L16" sqref="L16"/>
    </sheetView>
  </sheetViews>
  <sheetFormatPr defaultColWidth="8.125" defaultRowHeight="12.75"/>
  <cols>
    <col min="1" max="1" width="5" style="190" customWidth="1"/>
    <col min="2" max="2" width="2.875" style="190" customWidth="1"/>
    <col min="3" max="3" width="11.75" style="190" customWidth="1"/>
    <col min="4" max="4" width="57.75" style="190" customWidth="1"/>
    <col min="5" max="5" width="28.875" style="190" customWidth="1"/>
    <col min="6" max="6" width="9.625" style="190" customWidth="1"/>
    <col min="7" max="7" width="13.25" style="190" customWidth="1"/>
    <col min="8" max="8" width="11.5" style="190" customWidth="1"/>
    <col min="9" max="9" width="13.5" style="190" customWidth="1"/>
    <col min="10" max="1026" width="8.25" style="190" customWidth="1"/>
    <col min="1027" max="16384" width="8.125" style="190"/>
  </cols>
  <sheetData>
    <row r="1" spans="2:11" ht="15" customHeight="1"/>
    <row r="2" spans="2:11" ht="24.75" customHeight="1">
      <c r="B2" s="302" t="s">
        <v>307</v>
      </c>
      <c r="C2" s="302"/>
      <c r="D2" s="302"/>
      <c r="E2" s="302"/>
      <c r="F2" s="302"/>
      <c r="G2" s="302"/>
      <c r="H2" s="302"/>
      <c r="I2" s="302"/>
    </row>
    <row r="3" spans="2:11" ht="20.100000000000001" customHeight="1"/>
    <row r="4" spans="2:11" ht="16.5" customHeight="1">
      <c r="B4" s="303" t="s">
        <v>308</v>
      </c>
      <c r="C4" s="303"/>
      <c r="D4" s="303"/>
      <c r="E4" s="303"/>
      <c r="F4" s="303"/>
      <c r="G4" s="303"/>
      <c r="H4" s="303"/>
      <c r="I4" s="303"/>
    </row>
    <row r="5" spans="2:11" ht="16.5" customHeight="1">
      <c r="B5" s="304" t="s">
        <v>110</v>
      </c>
      <c r="C5" s="304"/>
      <c r="D5" s="305">
        <v>91677</v>
      </c>
      <c r="E5" s="305"/>
      <c r="F5" s="305"/>
      <c r="G5" s="305"/>
      <c r="H5" s="305"/>
      <c r="I5" s="305"/>
    </row>
    <row r="6" spans="2:11" ht="16.5" customHeight="1">
      <c r="B6" s="304" t="s">
        <v>97</v>
      </c>
      <c r="C6" s="304"/>
      <c r="D6" s="305" t="s">
        <v>309</v>
      </c>
      <c r="E6" s="305"/>
      <c r="F6" s="305"/>
      <c r="G6" s="305"/>
      <c r="H6" s="305"/>
      <c r="I6" s="305"/>
    </row>
    <row r="7" spans="2:11" ht="16.5" customHeight="1">
      <c r="B7" s="304" t="s">
        <v>113</v>
      </c>
      <c r="C7" s="304"/>
      <c r="D7" s="308" t="s">
        <v>270</v>
      </c>
      <c r="E7" s="308"/>
      <c r="F7" s="308"/>
      <c r="G7" s="308"/>
      <c r="H7" s="308"/>
      <c r="I7" s="308"/>
    </row>
    <row r="8" spans="2:11" ht="16.5" customHeight="1">
      <c r="B8" s="304" t="s">
        <v>114</v>
      </c>
      <c r="C8" s="304"/>
      <c r="D8" s="305" t="s">
        <v>266</v>
      </c>
      <c r="E8" s="305"/>
      <c r="F8" s="305"/>
      <c r="G8" s="305"/>
      <c r="H8" s="305"/>
      <c r="I8" s="305"/>
    </row>
    <row r="9" spans="2:11" ht="16.5" customHeight="1">
      <c r="B9" s="304" t="s">
        <v>115</v>
      </c>
      <c r="C9" s="304"/>
      <c r="D9" s="305" t="s">
        <v>271</v>
      </c>
      <c r="E9" s="305"/>
      <c r="F9" s="305"/>
      <c r="G9" s="305"/>
      <c r="H9" s="305"/>
      <c r="I9" s="305"/>
    </row>
    <row r="10" spans="2:11" ht="16.5" customHeight="1">
      <c r="B10" s="304" t="s">
        <v>98</v>
      </c>
      <c r="C10" s="304"/>
      <c r="D10" s="305" t="s">
        <v>120</v>
      </c>
      <c r="E10" s="305"/>
      <c r="F10" s="305"/>
      <c r="G10" s="305"/>
      <c r="H10" s="305"/>
      <c r="I10" s="305"/>
    </row>
    <row r="11" spans="2:11" ht="23.25" customHeight="1">
      <c r="B11" s="306" t="s">
        <v>117</v>
      </c>
      <c r="C11" s="306"/>
      <c r="D11" s="307">
        <f>SUM(I14:I19)</f>
        <v>108.89875000000001</v>
      </c>
      <c r="E11" s="307"/>
      <c r="F11" s="307"/>
      <c r="G11" s="307"/>
      <c r="H11" s="307"/>
      <c r="I11" s="307"/>
    </row>
    <row r="12" spans="2:11" ht="15.75" customHeight="1">
      <c r="B12" s="191"/>
      <c r="C12" s="191"/>
      <c r="D12" s="192"/>
      <c r="E12" s="192"/>
      <c r="F12" s="192"/>
      <c r="G12" s="192"/>
      <c r="H12" s="192"/>
      <c r="I12" s="192"/>
    </row>
    <row r="13" spans="2:11" ht="30">
      <c r="B13" s="193"/>
      <c r="C13" s="193" t="s">
        <v>133</v>
      </c>
      <c r="D13" s="193" t="s">
        <v>97</v>
      </c>
      <c r="E13" s="193" t="s">
        <v>115</v>
      </c>
      <c r="F13" s="193" t="s">
        <v>98</v>
      </c>
      <c r="G13" s="193" t="s">
        <v>310</v>
      </c>
      <c r="H13" s="193" t="s">
        <v>118</v>
      </c>
      <c r="I13" s="193" t="s">
        <v>311</v>
      </c>
    </row>
    <row r="14" spans="2:11" ht="20.100000000000001" customHeight="1">
      <c r="B14" s="194" t="s">
        <v>184</v>
      </c>
      <c r="C14" s="194" t="s">
        <v>312</v>
      </c>
      <c r="D14" s="194" t="s">
        <v>313</v>
      </c>
      <c r="E14" s="194" t="s">
        <v>314</v>
      </c>
      <c r="F14" s="194" t="s">
        <v>120</v>
      </c>
      <c r="G14" s="196">
        <v>3.84</v>
      </c>
      <c r="H14" s="196">
        <v>1</v>
      </c>
      <c r="I14" s="197">
        <f t="shared" ref="I14:I19" si="0">G14*H14</f>
        <v>3.84</v>
      </c>
      <c r="J14" s="198"/>
      <c r="K14" s="198"/>
    </row>
    <row r="15" spans="2:11" ht="20.100000000000001" customHeight="1">
      <c r="B15" s="194" t="s">
        <v>184</v>
      </c>
      <c r="C15" s="194" t="s">
        <v>315</v>
      </c>
      <c r="D15" s="194" t="s">
        <v>297</v>
      </c>
      <c r="E15" s="194" t="s">
        <v>276</v>
      </c>
      <c r="F15" s="194" t="s">
        <v>120</v>
      </c>
      <c r="G15" s="196">
        <f>'Custo Eng. Eletricista'!C13</f>
        <v>103.12875000000001</v>
      </c>
      <c r="H15" s="196">
        <v>1</v>
      </c>
      <c r="I15" s="197">
        <f t="shared" si="0"/>
        <v>103.12875000000001</v>
      </c>
      <c r="J15" s="198"/>
      <c r="K15" s="198"/>
    </row>
    <row r="16" spans="2:11" ht="30" customHeight="1">
      <c r="B16" s="194" t="s">
        <v>184</v>
      </c>
      <c r="C16" s="194" t="s">
        <v>316</v>
      </c>
      <c r="D16" s="194" t="s">
        <v>281</v>
      </c>
      <c r="E16" s="194" t="s">
        <v>278</v>
      </c>
      <c r="F16" s="194" t="s">
        <v>120</v>
      </c>
      <c r="G16" s="196" t="s">
        <v>317</v>
      </c>
      <c r="H16" s="196">
        <v>1</v>
      </c>
      <c r="I16" s="197">
        <f t="shared" si="0"/>
        <v>1.1399999999999999</v>
      </c>
      <c r="J16" s="198"/>
      <c r="K16" s="198"/>
    </row>
    <row r="17" spans="2:11" ht="30" customHeight="1">
      <c r="B17" s="194" t="s">
        <v>184</v>
      </c>
      <c r="C17" s="194" t="s">
        <v>318</v>
      </c>
      <c r="D17" s="194" t="s">
        <v>282</v>
      </c>
      <c r="E17" s="194" t="s">
        <v>283</v>
      </c>
      <c r="F17" s="194" t="s">
        <v>120</v>
      </c>
      <c r="G17" s="196" t="s">
        <v>319</v>
      </c>
      <c r="H17" s="196">
        <v>1</v>
      </c>
      <c r="I17" s="197">
        <f t="shared" si="0"/>
        <v>7.0000000000000007E-2</v>
      </c>
      <c r="J17" s="198"/>
      <c r="K17" s="198"/>
    </row>
    <row r="18" spans="2:11" ht="30" customHeight="1">
      <c r="B18" s="194" t="s">
        <v>184</v>
      </c>
      <c r="C18" s="194" t="s">
        <v>320</v>
      </c>
      <c r="D18" s="194" t="s">
        <v>321</v>
      </c>
      <c r="E18" s="194" t="s">
        <v>285</v>
      </c>
      <c r="F18" s="194" t="s">
        <v>120</v>
      </c>
      <c r="G18" s="196" t="s">
        <v>322</v>
      </c>
      <c r="H18" s="196">
        <v>1</v>
      </c>
      <c r="I18" s="197">
        <f t="shared" si="0"/>
        <v>0.01</v>
      </c>
      <c r="J18" s="198"/>
      <c r="K18" s="198"/>
    </row>
    <row r="19" spans="2:11" ht="30" customHeight="1">
      <c r="B19" s="194" t="s">
        <v>184</v>
      </c>
      <c r="C19" s="194" t="s">
        <v>323</v>
      </c>
      <c r="D19" s="194" t="s">
        <v>324</v>
      </c>
      <c r="E19" s="194" t="s">
        <v>285</v>
      </c>
      <c r="F19" s="194" t="s">
        <v>120</v>
      </c>
      <c r="G19" s="196" t="s">
        <v>325</v>
      </c>
      <c r="H19" s="196">
        <v>1</v>
      </c>
      <c r="I19" s="197">
        <f t="shared" si="0"/>
        <v>0.71</v>
      </c>
      <c r="J19" s="198"/>
      <c r="K19" s="198"/>
    </row>
    <row r="20" spans="2:11" ht="20.100000000000001" customHeight="1"/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4DF77-E180-4046-8ECE-5A1F971AC3CC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76" customWidth="1"/>
    <col min="2" max="2" width="47.25" style="176" customWidth="1"/>
    <col min="3" max="3" width="37.125" style="176" customWidth="1"/>
    <col min="4" max="4" width="29.875" style="176" customWidth="1"/>
    <col min="5" max="5" width="14.25" style="176" customWidth="1"/>
    <col min="6" max="16384" width="10.125" style="176"/>
  </cols>
  <sheetData>
    <row r="1" spans="2:5" ht="15" customHeight="1"/>
    <row r="2" spans="2:5">
      <c r="C2" s="189" t="s">
        <v>266</v>
      </c>
    </row>
    <row r="3" spans="2:5">
      <c r="B3" s="180" t="s">
        <v>265</v>
      </c>
      <c r="C3" s="189" t="s">
        <v>264</v>
      </c>
    </row>
    <row r="4" spans="2:5" ht="15">
      <c r="B4" s="180" t="s">
        <v>263</v>
      </c>
      <c r="C4" s="188" t="s">
        <v>262</v>
      </c>
    </row>
    <row r="5" spans="2:5">
      <c r="B5" s="180" t="s">
        <v>261</v>
      </c>
      <c r="C5" s="188">
        <v>45078</v>
      </c>
    </row>
    <row r="6" spans="2:5" ht="25.5">
      <c r="B6" s="180" t="s">
        <v>260</v>
      </c>
      <c r="C6" s="188" t="s">
        <v>259</v>
      </c>
    </row>
    <row r="7" spans="2:5">
      <c r="B7" s="180" t="s">
        <v>258</v>
      </c>
      <c r="C7" s="187">
        <v>2140.6</v>
      </c>
    </row>
    <row r="8" spans="2:5">
      <c r="B8" s="183"/>
      <c r="C8" s="186"/>
    </row>
    <row r="9" spans="2:5" ht="25.5">
      <c r="B9" s="185" t="s">
        <v>257</v>
      </c>
      <c r="C9" s="180"/>
    </row>
    <row r="10" spans="2:5">
      <c r="B10" s="180" t="s">
        <v>256</v>
      </c>
      <c r="C10" s="184">
        <v>0.83340000000000003</v>
      </c>
    </row>
    <row r="11" spans="2:5">
      <c r="B11" s="180" t="s">
        <v>255</v>
      </c>
      <c r="C11" s="184">
        <v>0.4632</v>
      </c>
    </row>
    <row r="12" spans="2:5">
      <c r="B12" s="180" t="s">
        <v>254</v>
      </c>
      <c r="C12" s="184">
        <v>1.1276999999999999</v>
      </c>
    </row>
    <row r="13" spans="2:5">
      <c r="B13" s="180" t="s">
        <v>253</v>
      </c>
      <c r="C13" s="184">
        <v>0.69879999999999998</v>
      </c>
    </row>
    <row r="14" spans="2:5" ht="14.1" customHeight="1">
      <c r="B14" s="183"/>
      <c r="C14" s="183"/>
    </row>
    <row r="15" spans="2:5">
      <c r="B15" s="182" t="s">
        <v>252</v>
      </c>
      <c r="C15" s="181"/>
    </row>
    <row r="16" spans="2:5" ht="15.75">
      <c r="B16" s="180" t="s">
        <v>251</v>
      </c>
      <c r="C16" s="181">
        <f>C7*(1+C11)</f>
        <v>3132.12592</v>
      </c>
      <c r="D16" s="177"/>
      <c r="E16" s="177"/>
    </row>
    <row r="17" spans="2:5" ht="15.75">
      <c r="B17" s="180" t="s">
        <v>250</v>
      </c>
      <c r="C17" s="181">
        <f>C7*(1+C13)</f>
        <v>3636.4512799999998</v>
      </c>
      <c r="D17" s="177"/>
      <c r="E17" s="177"/>
    </row>
    <row r="18" spans="2:5" ht="15.75">
      <c r="B18" s="180" t="s">
        <v>249</v>
      </c>
      <c r="C18" s="179">
        <f>C16*(1+C10)/(220*(1+C11))</f>
        <v>17.838982000000001</v>
      </c>
      <c r="D18" s="178"/>
      <c r="E18" s="177"/>
    </row>
    <row r="19" spans="2:5" ht="15.75">
      <c r="B19" s="180" t="s">
        <v>248</v>
      </c>
      <c r="C19" s="179">
        <f>(C17*(1+C12)/(220*(1+C13)))</f>
        <v>20.702520999999997</v>
      </c>
      <c r="D19" s="178"/>
      <c r="E19" s="177"/>
    </row>
    <row r="21" spans="2:5">
      <c r="B21" s="176" t="s">
        <v>247</v>
      </c>
    </row>
    <row r="22" spans="2:5" ht="69.95" customHeight="1"/>
    <row r="23" spans="2:5" ht="34.5" customHeight="1">
      <c r="B23" s="301" t="s">
        <v>246</v>
      </c>
      <c r="C23" s="301"/>
    </row>
    <row r="24" spans="2:5" ht="34.35" customHeight="1">
      <c r="B24" s="301" t="s">
        <v>245</v>
      </c>
      <c r="C24" s="301"/>
    </row>
    <row r="25" spans="2:5" ht="30" customHeight="1">
      <c r="B25" s="301" t="s">
        <v>244</v>
      </c>
      <c r="C25" s="301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2599-3B7E-47E7-B7F9-F5AF912AFCB7}">
  <sheetPr>
    <tabColor rgb="FFFFFFFF"/>
  </sheetPr>
  <dimension ref="B1:K22"/>
  <sheetViews>
    <sheetView zoomScale="110" zoomScaleNormal="110" workbookViewId="0">
      <selection activeCell="G16" sqref="G16"/>
    </sheetView>
  </sheetViews>
  <sheetFormatPr defaultColWidth="8.125" defaultRowHeight="12.75"/>
  <cols>
    <col min="1" max="1" width="5.625" style="190" customWidth="1"/>
    <col min="2" max="2" width="2.875" style="190" customWidth="1"/>
    <col min="3" max="3" width="11.75" style="190" customWidth="1"/>
    <col min="4" max="4" width="57.75" style="190" customWidth="1"/>
    <col min="5" max="5" width="28.875" style="190" customWidth="1"/>
    <col min="6" max="6" width="9.625" style="190" customWidth="1"/>
    <col min="7" max="7" width="13.25" style="190" customWidth="1"/>
    <col min="8" max="8" width="11.5" style="190" customWidth="1"/>
    <col min="9" max="9" width="13.5" style="190" customWidth="1"/>
    <col min="10" max="1026" width="8.25" style="190" customWidth="1"/>
    <col min="1027" max="16384" width="8.125" style="190"/>
  </cols>
  <sheetData>
    <row r="1" spans="2:11" ht="15" customHeight="1"/>
    <row r="2" spans="2:11" ht="24.75" customHeight="1">
      <c r="B2" s="302" t="s">
        <v>267</v>
      </c>
      <c r="C2" s="302"/>
      <c r="D2" s="302"/>
      <c r="E2" s="302"/>
      <c r="F2" s="302"/>
      <c r="G2" s="302"/>
      <c r="H2" s="302"/>
      <c r="I2" s="302"/>
    </row>
    <row r="3" spans="2:11" ht="21" customHeight="1"/>
    <row r="4" spans="2:11" ht="16.5" customHeight="1">
      <c r="B4" s="303" t="s">
        <v>268</v>
      </c>
      <c r="C4" s="303"/>
      <c r="D4" s="303"/>
      <c r="E4" s="303"/>
      <c r="F4" s="303"/>
      <c r="G4" s="303"/>
      <c r="H4" s="303"/>
      <c r="I4" s="303"/>
    </row>
    <row r="5" spans="2:11" ht="16.5" customHeight="1">
      <c r="B5" s="304" t="s">
        <v>110</v>
      </c>
      <c r="C5" s="304"/>
      <c r="D5" s="305">
        <v>88264</v>
      </c>
      <c r="E5" s="305"/>
      <c r="F5" s="305"/>
      <c r="G5" s="305"/>
      <c r="H5" s="305"/>
      <c r="I5" s="305"/>
    </row>
    <row r="6" spans="2:11" ht="16.5" customHeight="1">
      <c r="B6" s="304" t="s">
        <v>97</v>
      </c>
      <c r="C6" s="304"/>
      <c r="D6" s="305" t="s">
        <v>269</v>
      </c>
      <c r="E6" s="305"/>
      <c r="F6" s="305"/>
      <c r="G6" s="305"/>
      <c r="H6" s="305"/>
      <c r="I6" s="305"/>
    </row>
    <row r="7" spans="2:11" ht="16.5" customHeight="1">
      <c r="B7" s="304" t="s">
        <v>113</v>
      </c>
      <c r="C7" s="304"/>
      <c r="D7" s="309" t="s">
        <v>270</v>
      </c>
      <c r="E7" s="309"/>
      <c r="F7" s="309"/>
      <c r="G7" s="309"/>
      <c r="H7" s="309"/>
      <c r="I7" s="309"/>
    </row>
    <row r="8" spans="2:11" ht="16.5" customHeight="1">
      <c r="B8" s="304" t="s">
        <v>114</v>
      </c>
      <c r="C8" s="304"/>
      <c r="D8" s="305" t="s">
        <v>266</v>
      </c>
      <c r="E8" s="305"/>
      <c r="F8" s="305"/>
      <c r="G8" s="305"/>
      <c r="H8" s="305"/>
      <c r="I8" s="305"/>
    </row>
    <row r="9" spans="2:11" ht="16.5" customHeight="1">
      <c r="B9" s="304" t="s">
        <v>115</v>
      </c>
      <c r="C9" s="304"/>
      <c r="D9" s="305" t="s">
        <v>271</v>
      </c>
      <c r="E9" s="305"/>
      <c r="F9" s="305"/>
      <c r="G9" s="305"/>
      <c r="H9" s="305"/>
      <c r="I9" s="305"/>
    </row>
    <row r="10" spans="2:11" ht="16.5" customHeight="1">
      <c r="B10" s="304" t="s">
        <v>98</v>
      </c>
      <c r="C10" s="304"/>
      <c r="D10" s="305" t="s">
        <v>120</v>
      </c>
      <c r="E10" s="305"/>
      <c r="F10" s="305"/>
      <c r="G10" s="305"/>
      <c r="H10" s="305"/>
      <c r="I10" s="305"/>
    </row>
    <row r="11" spans="2:11" ht="23.25" customHeight="1">
      <c r="B11" s="306" t="s">
        <v>117</v>
      </c>
      <c r="C11" s="306"/>
      <c r="D11" s="307">
        <f>SUM(I14:I22)</f>
        <v>24.41</v>
      </c>
      <c r="E11" s="307"/>
      <c r="F11" s="307"/>
      <c r="G11" s="307"/>
      <c r="H11" s="307"/>
      <c r="I11" s="307"/>
    </row>
    <row r="12" spans="2:11" ht="15.75" customHeight="1">
      <c r="B12" s="191"/>
      <c r="C12" s="191"/>
      <c r="D12" s="192"/>
      <c r="E12" s="192"/>
      <c r="F12" s="192"/>
      <c r="G12" s="192"/>
      <c r="H12" s="192"/>
      <c r="I12" s="192"/>
    </row>
    <row r="13" spans="2:11" ht="45">
      <c r="B13" s="193"/>
      <c r="C13" s="193" t="s">
        <v>133</v>
      </c>
      <c r="D13" s="193" t="s">
        <v>97</v>
      </c>
      <c r="E13" s="193" t="s">
        <v>115</v>
      </c>
      <c r="F13" s="193" t="s">
        <v>98</v>
      </c>
      <c r="G13" s="193" t="s">
        <v>272</v>
      </c>
      <c r="H13" s="193" t="s">
        <v>118</v>
      </c>
      <c r="I13" s="193" t="s">
        <v>117</v>
      </c>
    </row>
    <row r="14" spans="2:11" ht="27.75" customHeight="1">
      <c r="B14" s="194" t="s">
        <v>119</v>
      </c>
      <c r="C14" s="194">
        <v>95332</v>
      </c>
      <c r="D14" s="194" t="s">
        <v>273</v>
      </c>
      <c r="E14" s="194" t="s">
        <v>271</v>
      </c>
      <c r="F14" s="194" t="s">
        <v>120</v>
      </c>
      <c r="G14" s="195">
        <v>0.74</v>
      </c>
      <c r="H14" s="196">
        <v>1</v>
      </c>
      <c r="I14" s="197">
        <f t="shared" ref="I14:I22" si="0">G14*H14</f>
        <v>0.74</v>
      </c>
      <c r="J14" s="198"/>
      <c r="K14" s="198"/>
    </row>
    <row r="15" spans="2:11" ht="32.85" customHeight="1">
      <c r="B15" s="194" t="s">
        <v>184</v>
      </c>
      <c r="C15" s="194" t="s">
        <v>274</v>
      </c>
      <c r="D15" s="194" t="s">
        <v>275</v>
      </c>
      <c r="E15" s="194" t="s">
        <v>276</v>
      </c>
      <c r="F15" s="194" t="s">
        <v>120</v>
      </c>
      <c r="G15" s="195">
        <v>17.84</v>
      </c>
      <c r="H15" s="196">
        <v>1</v>
      </c>
      <c r="I15" s="197">
        <f t="shared" si="0"/>
        <v>17.84</v>
      </c>
      <c r="J15" s="198"/>
      <c r="K15" s="198"/>
    </row>
    <row r="16" spans="2:11" ht="42" customHeight="1">
      <c r="B16" s="194" t="s">
        <v>184</v>
      </c>
      <c r="C16" s="194">
        <v>37370</v>
      </c>
      <c r="D16" s="194" t="s">
        <v>277</v>
      </c>
      <c r="E16" s="194" t="s">
        <v>278</v>
      </c>
      <c r="F16" s="194" t="s">
        <v>120</v>
      </c>
      <c r="G16" s="195">
        <v>1.27</v>
      </c>
      <c r="H16" s="196">
        <v>1</v>
      </c>
      <c r="I16" s="197">
        <f t="shared" si="0"/>
        <v>1.27</v>
      </c>
      <c r="J16" s="198"/>
      <c r="K16" s="198"/>
    </row>
    <row r="17" spans="2:11" ht="27.75" customHeight="1">
      <c r="B17" s="194" t="s">
        <v>184</v>
      </c>
      <c r="C17" s="194">
        <v>37371</v>
      </c>
      <c r="D17" s="194" t="s">
        <v>279</v>
      </c>
      <c r="E17" s="194" t="s">
        <v>280</v>
      </c>
      <c r="F17" s="194" t="s">
        <v>120</v>
      </c>
      <c r="G17" s="195">
        <v>1.03</v>
      </c>
      <c r="H17" s="196">
        <v>1</v>
      </c>
      <c r="I17" s="197">
        <f t="shared" si="0"/>
        <v>1.03</v>
      </c>
      <c r="J17" s="198"/>
      <c r="K17" s="198"/>
    </row>
    <row r="18" spans="2:11" ht="42" customHeight="1">
      <c r="B18" s="194" t="s">
        <v>184</v>
      </c>
      <c r="C18" s="194">
        <v>37372</v>
      </c>
      <c r="D18" s="194" t="s">
        <v>281</v>
      </c>
      <c r="E18" s="194" t="s">
        <v>278</v>
      </c>
      <c r="F18" s="194" t="s">
        <v>120</v>
      </c>
      <c r="G18" s="195">
        <v>1.1399999999999999</v>
      </c>
      <c r="H18" s="196">
        <v>1</v>
      </c>
      <c r="I18" s="197">
        <f t="shared" si="0"/>
        <v>1.1399999999999999</v>
      </c>
      <c r="J18" s="198"/>
      <c r="K18" s="198"/>
    </row>
    <row r="19" spans="2:11" ht="27.75" customHeight="1">
      <c r="B19" s="194" t="s">
        <v>184</v>
      </c>
      <c r="C19" s="194">
        <v>37373</v>
      </c>
      <c r="D19" s="194" t="s">
        <v>282</v>
      </c>
      <c r="E19" s="194" t="s">
        <v>283</v>
      </c>
      <c r="F19" s="194" t="s">
        <v>120</v>
      </c>
      <c r="G19" s="195">
        <v>7.0000000000000007E-2</v>
      </c>
      <c r="H19" s="196">
        <v>1</v>
      </c>
      <c r="I19" s="197">
        <f t="shared" si="0"/>
        <v>7.0000000000000007E-2</v>
      </c>
      <c r="J19" s="198"/>
      <c r="K19" s="198"/>
    </row>
    <row r="20" spans="2:11" ht="27.75" customHeight="1">
      <c r="B20" s="194" t="s">
        <v>184</v>
      </c>
      <c r="C20" s="194">
        <v>43460</v>
      </c>
      <c r="D20" s="194" t="s">
        <v>284</v>
      </c>
      <c r="E20" s="194" t="s">
        <v>285</v>
      </c>
      <c r="F20" s="194" t="s">
        <v>120</v>
      </c>
      <c r="G20" s="195">
        <v>0.86</v>
      </c>
      <c r="H20" s="196">
        <v>1</v>
      </c>
      <c r="I20" s="197">
        <f t="shared" si="0"/>
        <v>0.86</v>
      </c>
      <c r="J20" s="198"/>
      <c r="K20" s="198"/>
    </row>
    <row r="21" spans="2:11" ht="29.25" customHeight="1">
      <c r="B21" s="199" t="s">
        <v>184</v>
      </c>
      <c r="C21" s="199">
        <v>43461</v>
      </c>
      <c r="D21" s="199" t="s">
        <v>286</v>
      </c>
      <c r="E21" s="199" t="s">
        <v>285</v>
      </c>
      <c r="F21" s="199" t="s">
        <v>120</v>
      </c>
      <c r="G21" s="200">
        <v>0.32</v>
      </c>
      <c r="H21" s="201">
        <v>1</v>
      </c>
      <c r="I21" s="202">
        <f t="shared" si="0"/>
        <v>0.32</v>
      </c>
      <c r="J21" s="198"/>
      <c r="K21" s="198"/>
    </row>
    <row r="22" spans="2:11" ht="27.75" customHeight="1">
      <c r="B22" s="194" t="s">
        <v>184</v>
      </c>
      <c r="C22" s="194">
        <v>43484</v>
      </c>
      <c r="D22" s="194" t="s">
        <v>287</v>
      </c>
      <c r="E22" s="194" t="s">
        <v>285</v>
      </c>
      <c r="F22" s="194" t="s">
        <v>120</v>
      </c>
      <c r="G22" s="195">
        <v>1.1399999999999999</v>
      </c>
      <c r="H22" s="196">
        <v>1</v>
      </c>
      <c r="I22" s="197">
        <f t="shared" si="0"/>
        <v>1.1399999999999999</v>
      </c>
      <c r="J22" s="198"/>
      <c r="K22" s="198"/>
    </row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27"/>
  <sheetViews>
    <sheetView showGridLines="0" zoomScaleNormal="100" workbookViewId="0">
      <selection activeCell="H5" sqref="H5"/>
    </sheetView>
  </sheetViews>
  <sheetFormatPr defaultRowHeight="14.25"/>
  <cols>
    <col min="1" max="1" width="5.625" customWidth="1"/>
    <col min="2" max="2" width="15.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55" customFormat="1" ht="29.25" customHeight="1">
      <c r="B2" s="310" t="str">
        <f>"RELAÇÃO DE UNIDADES DO "&amp;'Valor da Contratação'!B7&amp;""</f>
        <v>RELAÇÃO DE UNIDADES DO POLO VII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2"/>
    </row>
    <row r="3" spans="2:14" s="7" customFormat="1" ht="15" customHeight="1"/>
    <row r="4" spans="2:14" ht="66.75" customHeight="1">
      <c r="B4" s="82" t="s">
        <v>137</v>
      </c>
      <c r="C4" s="82" t="s">
        <v>8</v>
      </c>
      <c r="D4" s="82" t="s">
        <v>33</v>
      </c>
      <c r="E4" s="82" t="s">
        <v>138</v>
      </c>
      <c r="F4" s="82" t="s">
        <v>139</v>
      </c>
      <c r="G4" s="82" t="s">
        <v>140</v>
      </c>
      <c r="H4" s="82" t="s">
        <v>63</v>
      </c>
      <c r="I4" s="82" t="s">
        <v>141</v>
      </c>
      <c r="J4" s="82" t="s">
        <v>142</v>
      </c>
      <c r="K4" s="82" t="s">
        <v>143</v>
      </c>
      <c r="L4" s="82" t="s">
        <v>144</v>
      </c>
      <c r="M4" s="82" t="s">
        <v>145</v>
      </c>
      <c r="N4" s="82" t="s">
        <v>146</v>
      </c>
    </row>
    <row r="5" spans="2:14" ht="18" customHeight="1">
      <c r="B5" s="11" t="s">
        <v>191</v>
      </c>
      <c r="C5" s="11" t="s">
        <v>189</v>
      </c>
      <c r="D5" s="65" t="s">
        <v>192</v>
      </c>
      <c r="E5" s="66" t="s">
        <v>193</v>
      </c>
      <c r="F5" s="60">
        <v>0.63</v>
      </c>
      <c r="G5" s="67">
        <v>0.03</v>
      </c>
      <c r="H5" s="67">
        <f>HLOOKUP(G5,BDI!$D$19:$J$30,12,)</f>
        <v>0.2979</v>
      </c>
      <c r="I5" s="62">
        <v>1325.34</v>
      </c>
      <c r="J5" s="62">
        <v>571.98</v>
      </c>
      <c r="K5" s="62">
        <v>566.07000000000005</v>
      </c>
      <c r="L5" s="62">
        <v>187.29</v>
      </c>
      <c r="M5" s="62" t="s">
        <v>148</v>
      </c>
      <c r="N5" s="62" t="s">
        <v>148</v>
      </c>
    </row>
    <row r="6" spans="2:14" ht="18" customHeight="1">
      <c r="B6" s="11" t="s">
        <v>191</v>
      </c>
      <c r="C6" s="11" t="s">
        <v>189</v>
      </c>
      <c r="D6" s="65" t="s">
        <v>194</v>
      </c>
      <c r="E6" s="66" t="s">
        <v>195</v>
      </c>
      <c r="F6" s="60">
        <v>0.9</v>
      </c>
      <c r="G6" s="67">
        <v>0.02</v>
      </c>
      <c r="H6" s="67">
        <f>HLOOKUP(G6,BDI!$D$19:$J$30,12,)</f>
        <v>0.28349999999999997</v>
      </c>
      <c r="I6" s="62">
        <v>1237.9100000000001</v>
      </c>
      <c r="J6" s="62">
        <v>1047.75</v>
      </c>
      <c r="K6" s="62">
        <v>190.16</v>
      </c>
      <c r="L6" s="62">
        <v>0</v>
      </c>
      <c r="M6" s="62" t="s">
        <v>148</v>
      </c>
      <c r="N6" s="62" t="s">
        <v>148</v>
      </c>
    </row>
    <row r="7" spans="2:14" ht="18" customHeight="1">
      <c r="B7" s="11" t="s">
        <v>191</v>
      </c>
      <c r="C7" s="11" t="s">
        <v>189</v>
      </c>
      <c r="D7" s="65" t="s">
        <v>196</v>
      </c>
      <c r="E7" s="68" t="s">
        <v>197</v>
      </c>
      <c r="F7" s="60">
        <v>0.97</v>
      </c>
      <c r="G7" s="67">
        <v>2.5000000000000001E-2</v>
      </c>
      <c r="H7" s="67">
        <f>HLOOKUP(G7,BDI!$D$19:$J$30,12,)</f>
        <v>0.29070000000000001</v>
      </c>
      <c r="I7" s="62">
        <v>1320.78</v>
      </c>
      <c r="J7" s="62">
        <v>925.8</v>
      </c>
      <c r="K7" s="62">
        <v>394.98</v>
      </c>
      <c r="L7" s="62">
        <v>0</v>
      </c>
      <c r="M7" s="62" t="s">
        <v>148</v>
      </c>
      <c r="N7" s="62" t="s">
        <v>148</v>
      </c>
    </row>
    <row r="8" spans="2:14" ht="18" customHeight="1">
      <c r="B8" s="11" t="s">
        <v>191</v>
      </c>
      <c r="C8" s="11" t="s">
        <v>189</v>
      </c>
      <c r="D8" s="65" t="s">
        <v>198</v>
      </c>
      <c r="E8" s="68" t="s">
        <v>199</v>
      </c>
      <c r="F8" s="60">
        <v>0.97</v>
      </c>
      <c r="G8" s="67">
        <v>0.02</v>
      </c>
      <c r="H8" s="67">
        <f>HLOOKUP(G8,BDI!$D$19:$J$30,12,)</f>
        <v>0.28349999999999997</v>
      </c>
      <c r="I8" s="62">
        <v>1577.06</v>
      </c>
      <c r="J8" s="62">
        <v>784.54</v>
      </c>
      <c r="K8" s="62">
        <v>565.1</v>
      </c>
      <c r="L8" s="62">
        <v>227.42</v>
      </c>
      <c r="M8" s="62" t="s">
        <v>147</v>
      </c>
      <c r="N8" s="62" t="s">
        <v>148</v>
      </c>
    </row>
    <row r="9" spans="2:14" ht="18" customHeight="1">
      <c r="B9" s="11" t="s">
        <v>191</v>
      </c>
      <c r="C9" s="11" t="s">
        <v>189</v>
      </c>
      <c r="D9" s="65" t="s">
        <v>200</v>
      </c>
      <c r="E9" s="66" t="s">
        <v>201</v>
      </c>
      <c r="F9" s="60">
        <v>0.53</v>
      </c>
      <c r="G9" s="67">
        <v>0.03</v>
      </c>
      <c r="H9" s="67">
        <f>HLOOKUP(G9,BDI!$D$19:$J$30,12,)</f>
        <v>0.2979</v>
      </c>
      <c r="I9" s="62">
        <v>436.8</v>
      </c>
      <c r="J9" s="62">
        <v>0</v>
      </c>
      <c r="K9" s="62">
        <v>436.8</v>
      </c>
      <c r="L9" s="62">
        <v>0</v>
      </c>
      <c r="M9" s="62" t="s">
        <v>147</v>
      </c>
      <c r="N9" s="62" t="s">
        <v>147</v>
      </c>
    </row>
    <row r="10" spans="2:14" ht="18" customHeight="1">
      <c r="B10" s="11" t="s">
        <v>191</v>
      </c>
      <c r="C10" s="11" t="s">
        <v>189</v>
      </c>
      <c r="D10" s="65" t="s">
        <v>202</v>
      </c>
      <c r="E10" s="66" t="s">
        <v>203</v>
      </c>
      <c r="F10" s="60">
        <v>0.93</v>
      </c>
      <c r="G10" s="67">
        <v>0.02</v>
      </c>
      <c r="H10" s="67">
        <f>HLOOKUP(G10,BDI!$D$19:$J$30,12,)</f>
        <v>0.28349999999999997</v>
      </c>
      <c r="I10" s="62">
        <v>2817.56</v>
      </c>
      <c r="J10" s="62">
        <v>0</v>
      </c>
      <c r="K10" s="62">
        <v>731.05</v>
      </c>
      <c r="L10" s="62">
        <v>2086.5100000000002</v>
      </c>
      <c r="M10" s="62" t="s">
        <v>147</v>
      </c>
      <c r="N10" s="62" t="s">
        <v>147</v>
      </c>
    </row>
    <row r="11" spans="2:14" ht="18" customHeight="1">
      <c r="B11" s="11" t="s">
        <v>191</v>
      </c>
      <c r="C11" s="11" t="s">
        <v>189</v>
      </c>
      <c r="D11" s="65" t="s">
        <v>204</v>
      </c>
      <c r="E11" s="66" t="s">
        <v>205</v>
      </c>
      <c r="F11" s="60">
        <v>0.67</v>
      </c>
      <c r="G11" s="67">
        <v>0.03</v>
      </c>
      <c r="H11" s="67">
        <f>HLOOKUP(G11,BDI!$D$19:$J$30,12,)</f>
        <v>0.2979</v>
      </c>
      <c r="I11" s="62">
        <v>3136.2</v>
      </c>
      <c r="J11" s="62">
        <v>2619.3000000000002</v>
      </c>
      <c r="K11" s="62">
        <v>376.78</v>
      </c>
      <c r="L11" s="62">
        <v>140.12</v>
      </c>
      <c r="M11" s="62" t="s">
        <v>148</v>
      </c>
      <c r="N11" s="62" t="s">
        <v>148</v>
      </c>
    </row>
    <row r="12" spans="2:14" ht="18" customHeight="1">
      <c r="B12" s="11" t="s">
        <v>189</v>
      </c>
      <c r="C12" s="11" t="s">
        <v>189</v>
      </c>
      <c r="D12" s="65" t="s">
        <v>224</v>
      </c>
      <c r="E12" s="66" t="s">
        <v>225</v>
      </c>
      <c r="F12" s="60">
        <v>0.97</v>
      </c>
      <c r="G12" s="67">
        <v>0.03</v>
      </c>
      <c r="H12" s="67">
        <f>HLOOKUP(G12,BDI!$D$19:$J$30,12,)</f>
        <v>0.2979</v>
      </c>
      <c r="I12" s="62">
        <v>394</v>
      </c>
      <c r="J12" s="62">
        <v>374</v>
      </c>
      <c r="K12" s="62">
        <v>20</v>
      </c>
      <c r="L12" s="62">
        <v>0</v>
      </c>
      <c r="M12" s="62" t="s">
        <v>147</v>
      </c>
      <c r="N12" s="62" t="s">
        <v>147</v>
      </c>
    </row>
    <row r="13" spans="2:14" ht="18" customHeight="1">
      <c r="B13" s="11" t="s">
        <v>189</v>
      </c>
      <c r="C13" s="11" t="s">
        <v>189</v>
      </c>
      <c r="D13" s="65" t="s">
        <v>226</v>
      </c>
      <c r="E13" s="66" t="s">
        <v>227</v>
      </c>
      <c r="F13" s="60">
        <v>7.0000000000000007E-2</v>
      </c>
      <c r="G13" s="67">
        <v>0.04</v>
      </c>
      <c r="H13" s="67">
        <f>HLOOKUP(G13,BDI!$D$19:$J$30,12,)</f>
        <v>0.31269999999999998</v>
      </c>
      <c r="I13" s="62">
        <v>587.37</v>
      </c>
      <c r="J13" s="62">
        <v>396.9</v>
      </c>
      <c r="K13" s="62">
        <v>132.9</v>
      </c>
      <c r="L13" s="62">
        <v>57.57</v>
      </c>
      <c r="M13" s="62" t="s">
        <v>148</v>
      </c>
      <c r="N13" s="62" t="s">
        <v>148</v>
      </c>
    </row>
    <row r="14" spans="2:14" ht="18" customHeight="1">
      <c r="B14" s="11" t="s">
        <v>189</v>
      </c>
      <c r="C14" s="11" t="s">
        <v>189</v>
      </c>
      <c r="D14" s="65" t="s">
        <v>228</v>
      </c>
      <c r="E14" s="66" t="s">
        <v>229</v>
      </c>
      <c r="F14" s="60">
        <v>0.3</v>
      </c>
      <c r="G14" s="67">
        <v>0.04</v>
      </c>
      <c r="H14" s="67">
        <f>HLOOKUP(G14,BDI!$D$19:$J$30,12,)</f>
        <v>0.31269999999999998</v>
      </c>
      <c r="I14" s="62">
        <v>10773</v>
      </c>
      <c r="J14" s="62">
        <v>3538</v>
      </c>
      <c r="K14" s="62">
        <v>2625.3</v>
      </c>
      <c r="L14" s="62">
        <v>4609.7</v>
      </c>
      <c r="M14" s="62" t="s">
        <v>148</v>
      </c>
      <c r="N14" s="62" t="s">
        <v>148</v>
      </c>
    </row>
    <row r="15" spans="2:14" ht="18" customHeight="1">
      <c r="B15" s="11" t="s">
        <v>189</v>
      </c>
      <c r="C15" s="11" t="s">
        <v>189</v>
      </c>
      <c r="D15" s="65" t="s">
        <v>230</v>
      </c>
      <c r="E15" s="66" t="s">
        <v>231</v>
      </c>
      <c r="F15" s="60">
        <v>0.67</v>
      </c>
      <c r="G15" s="67">
        <v>0.04</v>
      </c>
      <c r="H15" s="67">
        <f>HLOOKUP(G15,BDI!$D$19:$J$30,12,)</f>
        <v>0.31269999999999998</v>
      </c>
      <c r="I15" s="62">
        <v>398</v>
      </c>
      <c r="J15" s="62">
        <v>350</v>
      </c>
      <c r="K15" s="62">
        <v>48</v>
      </c>
      <c r="L15" s="62">
        <v>0</v>
      </c>
      <c r="M15" s="62" t="s">
        <v>147</v>
      </c>
      <c r="N15" s="62" t="s">
        <v>148</v>
      </c>
    </row>
    <row r="16" spans="2:14" ht="18" customHeight="1">
      <c r="B16" s="11" t="s">
        <v>189</v>
      </c>
      <c r="C16" s="11" t="s">
        <v>189</v>
      </c>
      <c r="D16" s="65" t="s">
        <v>232</v>
      </c>
      <c r="E16" s="66" t="s">
        <v>233</v>
      </c>
      <c r="F16" s="60">
        <v>0.47</v>
      </c>
      <c r="G16" s="67">
        <v>0.04</v>
      </c>
      <c r="H16" s="67">
        <f>HLOOKUP(G16,BDI!$D$19:$J$30,12,)</f>
        <v>0.31269999999999998</v>
      </c>
      <c r="I16" s="62">
        <v>3131</v>
      </c>
      <c r="J16" s="62">
        <v>138</v>
      </c>
      <c r="K16" s="62">
        <v>2993</v>
      </c>
      <c r="L16" s="62">
        <v>0</v>
      </c>
      <c r="M16" s="62" t="s">
        <v>148</v>
      </c>
      <c r="N16" s="62" t="s">
        <v>148</v>
      </c>
    </row>
    <row r="17" spans="2:14" ht="18" customHeight="1">
      <c r="B17" s="11" t="s">
        <v>189</v>
      </c>
      <c r="C17" s="11" t="s">
        <v>189</v>
      </c>
      <c r="D17" s="65" t="s">
        <v>234</v>
      </c>
      <c r="E17" s="68" t="s">
        <v>235</v>
      </c>
      <c r="F17" s="60">
        <v>0</v>
      </c>
      <c r="G17" s="67">
        <v>0.04</v>
      </c>
      <c r="H17" s="67">
        <f>HLOOKUP(G17,BDI!$D$19:$J$30,12,)</f>
        <v>0.31269999999999998</v>
      </c>
      <c r="I17" s="62">
        <v>18091</v>
      </c>
      <c r="J17" s="62">
        <v>9045.5</v>
      </c>
      <c r="K17" s="62">
        <v>2713.65</v>
      </c>
      <c r="L17" s="62">
        <v>6331.85</v>
      </c>
      <c r="M17" s="62" t="s">
        <v>148</v>
      </c>
      <c r="N17" s="62" t="s">
        <v>148</v>
      </c>
    </row>
    <row r="18" spans="2:14" ht="18" customHeight="1">
      <c r="B18" s="11" t="s">
        <v>189</v>
      </c>
      <c r="C18" s="11" t="s">
        <v>189</v>
      </c>
      <c r="D18" s="65" t="s">
        <v>236</v>
      </c>
      <c r="E18" s="66" t="s">
        <v>237</v>
      </c>
      <c r="F18" s="60">
        <v>7.0000000000000007E-2</v>
      </c>
      <c r="G18" s="67">
        <v>0.04</v>
      </c>
      <c r="H18" s="67">
        <f>HLOOKUP(G18,BDI!$D$19:$J$30,12,)</f>
        <v>0.31269999999999998</v>
      </c>
      <c r="I18" s="62">
        <v>7872</v>
      </c>
      <c r="J18" s="62">
        <v>0</v>
      </c>
      <c r="K18" s="62">
        <v>0</v>
      </c>
      <c r="L18" s="62">
        <v>7872</v>
      </c>
      <c r="M18" s="62" t="s">
        <v>147</v>
      </c>
      <c r="N18" s="62" t="s">
        <v>148</v>
      </c>
    </row>
    <row r="19" spans="2:14" ht="18" customHeight="1">
      <c r="B19" s="11" t="s">
        <v>190</v>
      </c>
      <c r="C19" s="11" t="s">
        <v>190</v>
      </c>
      <c r="D19" s="65" t="s">
        <v>206</v>
      </c>
      <c r="E19" s="66" t="s">
        <v>207</v>
      </c>
      <c r="F19" s="60">
        <v>3.67</v>
      </c>
      <c r="G19" s="67">
        <v>0.02</v>
      </c>
      <c r="H19" s="67">
        <f>HLOOKUP(G19,BDI!$D$19:$J$30,12,)</f>
        <v>0.28349999999999997</v>
      </c>
      <c r="I19" s="62">
        <v>1011.72</v>
      </c>
      <c r="J19" s="62">
        <v>492.6</v>
      </c>
      <c r="K19" s="62">
        <v>501.82</v>
      </c>
      <c r="L19" s="62">
        <v>17.3</v>
      </c>
      <c r="M19" s="62" t="s">
        <v>147</v>
      </c>
      <c r="N19" s="62" t="s">
        <v>148</v>
      </c>
    </row>
    <row r="20" spans="2:14" ht="18" customHeight="1">
      <c r="B20" s="11" t="s">
        <v>190</v>
      </c>
      <c r="C20" s="11" t="s">
        <v>190</v>
      </c>
      <c r="D20" s="65" t="s">
        <v>208</v>
      </c>
      <c r="E20" s="66" t="s">
        <v>209</v>
      </c>
      <c r="F20" s="60">
        <v>0.83</v>
      </c>
      <c r="G20" s="67">
        <v>0.02</v>
      </c>
      <c r="H20" s="67">
        <f>HLOOKUP(G20,BDI!$D$19:$J$30,12,)</f>
        <v>0.28349999999999997</v>
      </c>
      <c r="I20" s="62">
        <v>334.4</v>
      </c>
      <c r="J20" s="62">
        <v>296</v>
      </c>
      <c r="K20" s="62">
        <v>38.4</v>
      </c>
      <c r="L20" s="62">
        <v>0</v>
      </c>
      <c r="M20" s="62" t="s">
        <v>147</v>
      </c>
      <c r="N20" s="62" t="s">
        <v>147</v>
      </c>
    </row>
    <row r="21" spans="2:14" ht="18" customHeight="1">
      <c r="B21" s="11" t="s">
        <v>190</v>
      </c>
      <c r="C21" s="11" t="s">
        <v>190</v>
      </c>
      <c r="D21" s="65" t="s">
        <v>210</v>
      </c>
      <c r="E21" s="66" t="s">
        <v>211</v>
      </c>
      <c r="F21" s="60">
        <v>3.45</v>
      </c>
      <c r="G21" s="67">
        <v>0.02</v>
      </c>
      <c r="H21" s="67">
        <f>HLOOKUP(G21,BDI!$D$19:$J$30,12,)</f>
        <v>0.28349999999999997</v>
      </c>
      <c r="I21" s="62">
        <v>1001.58</v>
      </c>
      <c r="J21" s="62">
        <v>528.17999999999995</v>
      </c>
      <c r="K21" s="62">
        <v>0</v>
      </c>
      <c r="L21" s="62">
        <v>1152.3599999999999</v>
      </c>
      <c r="M21" s="62" t="s">
        <v>147</v>
      </c>
      <c r="N21" s="62" t="s">
        <v>148</v>
      </c>
    </row>
    <row r="22" spans="2:14" ht="18" customHeight="1">
      <c r="B22" s="11" t="s">
        <v>190</v>
      </c>
      <c r="C22" s="11" t="s">
        <v>190</v>
      </c>
      <c r="D22" s="65" t="s">
        <v>212</v>
      </c>
      <c r="E22" s="66" t="s">
        <v>213</v>
      </c>
      <c r="F22" s="60">
        <v>2</v>
      </c>
      <c r="G22" s="67">
        <v>0.03</v>
      </c>
      <c r="H22" s="67">
        <f>HLOOKUP(G22,BDI!$D$19:$J$30,12,)</f>
        <v>0.2979</v>
      </c>
      <c r="I22" s="62">
        <v>1315.1</v>
      </c>
      <c r="J22" s="62">
        <v>1195.25</v>
      </c>
      <c r="K22" s="62">
        <v>119.85</v>
      </c>
      <c r="L22" s="62">
        <v>0</v>
      </c>
      <c r="M22" s="62" t="s">
        <v>147</v>
      </c>
      <c r="N22" s="62" t="s">
        <v>148</v>
      </c>
    </row>
    <row r="23" spans="2:14" ht="18" customHeight="1">
      <c r="B23" s="11" t="s">
        <v>190</v>
      </c>
      <c r="C23" s="11" t="s">
        <v>190</v>
      </c>
      <c r="D23" s="65" t="s">
        <v>214</v>
      </c>
      <c r="E23" s="66" t="s">
        <v>215</v>
      </c>
      <c r="F23" s="60">
        <v>5.8</v>
      </c>
      <c r="G23" s="67">
        <v>0.03</v>
      </c>
      <c r="H23" s="67">
        <f>HLOOKUP(G23,BDI!$D$19:$J$30,12,)</f>
        <v>0.2979</v>
      </c>
      <c r="I23" s="62">
        <v>399.57</v>
      </c>
      <c r="J23" s="62">
        <v>322.16000000000003</v>
      </c>
      <c r="K23" s="62">
        <v>77.41</v>
      </c>
      <c r="L23" s="62">
        <v>0</v>
      </c>
      <c r="M23" s="62" t="s">
        <v>147</v>
      </c>
      <c r="N23" s="62" t="s">
        <v>147</v>
      </c>
    </row>
    <row r="24" spans="2:14" ht="18" customHeight="1">
      <c r="B24" s="11" t="s">
        <v>190</v>
      </c>
      <c r="C24" s="11" t="s">
        <v>190</v>
      </c>
      <c r="D24" s="65" t="s">
        <v>216</v>
      </c>
      <c r="E24" s="66" t="s">
        <v>217</v>
      </c>
      <c r="F24" s="60">
        <v>3.4</v>
      </c>
      <c r="G24" s="67">
        <v>0.04</v>
      </c>
      <c r="H24" s="67">
        <f>HLOOKUP(G24,BDI!$D$19:$J$30,12,)</f>
        <v>0.31269999999999998</v>
      </c>
      <c r="I24" s="62">
        <v>334.4</v>
      </c>
      <c r="J24" s="62">
        <v>296</v>
      </c>
      <c r="K24" s="62">
        <v>38.4</v>
      </c>
      <c r="L24" s="62">
        <v>0</v>
      </c>
      <c r="M24" s="62" t="s">
        <v>147</v>
      </c>
      <c r="N24" s="62" t="s">
        <v>147</v>
      </c>
    </row>
    <row r="25" spans="2:14" ht="18" customHeight="1">
      <c r="B25" s="11" t="s">
        <v>190</v>
      </c>
      <c r="C25" s="11" t="s">
        <v>190</v>
      </c>
      <c r="D25" s="65" t="s">
        <v>218</v>
      </c>
      <c r="E25" s="66" t="s">
        <v>219</v>
      </c>
      <c r="F25" s="60">
        <v>2.0699999999999998</v>
      </c>
      <c r="G25" s="67">
        <v>0.02</v>
      </c>
      <c r="H25" s="67">
        <f>HLOOKUP(G25,BDI!$D$19:$J$30,12,)</f>
        <v>0.28349999999999997</v>
      </c>
      <c r="I25" s="62">
        <v>740.65</v>
      </c>
      <c r="J25" s="62">
        <v>631.05999999999995</v>
      </c>
      <c r="K25" s="62">
        <v>109.59</v>
      </c>
      <c r="L25" s="62">
        <v>0</v>
      </c>
      <c r="M25" s="62" t="s">
        <v>147</v>
      </c>
      <c r="N25" s="62" t="s">
        <v>147</v>
      </c>
    </row>
    <row r="26" spans="2:14" ht="18" customHeight="1">
      <c r="B26" s="11" t="s">
        <v>190</v>
      </c>
      <c r="C26" s="11" t="s">
        <v>190</v>
      </c>
      <c r="D26" s="65" t="s">
        <v>220</v>
      </c>
      <c r="E26" s="66" t="s">
        <v>221</v>
      </c>
      <c r="F26" s="60">
        <v>4.7300000000000004</v>
      </c>
      <c r="G26" s="67">
        <v>0.02</v>
      </c>
      <c r="H26" s="67">
        <f>HLOOKUP(G26,BDI!$D$19:$J$30,12,)</f>
        <v>0.28349999999999997</v>
      </c>
      <c r="I26" s="62">
        <v>334.4</v>
      </c>
      <c r="J26" s="62">
        <v>296</v>
      </c>
      <c r="K26" s="62">
        <v>38.4</v>
      </c>
      <c r="L26" s="62">
        <v>0</v>
      </c>
      <c r="M26" s="62" t="s">
        <v>147</v>
      </c>
      <c r="N26" s="62" t="s">
        <v>147</v>
      </c>
    </row>
    <row r="27" spans="2:14" ht="18" customHeight="1">
      <c r="B27" s="11" t="s">
        <v>190</v>
      </c>
      <c r="C27" s="11" t="s">
        <v>190</v>
      </c>
      <c r="D27" s="65" t="s">
        <v>222</v>
      </c>
      <c r="E27" s="66" t="s">
        <v>223</v>
      </c>
      <c r="F27" s="60">
        <v>0</v>
      </c>
      <c r="G27" s="67">
        <v>3.5000000000000003E-2</v>
      </c>
      <c r="H27" s="67">
        <f>HLOOKUP(G27,BDI!$D$19:$J$30,12,)</f>
        <v>0.30530000000000002</v>
      </c>
      <c r="I27" s="62">
        <v>4965.68</v>
      </c>
      <c r="J27" s="62">
        <v>3104.81</v>
      </c>
      <c r="K27" s="62">
        <v>1100.6199999999999</v>
      </c>
      <c r="L27" s="62">
        <v>760.25</v>
      </c>
      <c r="M27" s="62" t="s">
        <v>147</v>
      </c>
      <c r="N27" s="62" t="s">
        <v>148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41"/>
  <sheetViews>
    <sheetView showGridLines="0" zoomScale="110" zoomScaleNormal="110" workbookViewId="0">
      <selection activeCell="M16" sqref="M16"/>
    </sheetView>
  </sheetViews>
  <sheetFormatPr defaultRowHeight="14.25"/>
  <cols>
    <col min="1" max="1" width="5.625" customWidth="1"/>
    <col min="2" max="2" width="10.625" style="56" customWidth="1"/>
    <col min="3" max="3" width="35.625" style="56" customWidth="1"/>
    <col min="4" max="4" width="11" style="26" customWidth="1"/>
    <col min="5" max="1023" width="10.375" customWidth="1"/>
  </cols>
  <sheetData>
    <row r="1" spans="2:10" ht="15" customHeight="1"/>
    <row r="2" spans="2:10" ht="20.100000000000001" customHeight="1">
      <c r="B2" s="313" t="s">
        <v>149</v>
      </c>
      <c r="C2" s="314"/>
      <c r="D2" s="314"/>
      <c r="E2" s="314"/>
      <c r="F2" s="314"/>
      <c r="G2" s="314"/>
      <c r="H2" s="314"/>
      <c r="I2" s="314"/>
      <c r="J2" s="315"/>
    </row>
    <row r="3" spans="2:10" ht="20.100000000000001" customHeight="1">
      <c r="B3" s="316" t="str">
        <f>'Valor da Contratação'!B8</f>
        <v>DESONERADA</v>
      </c>
      <c r="C3" s="317"/>
      <c r="D3" s="317"/>
      <c r="E3" s="317"/>
      <c r="F3" s="317"/>
      <c r="G3" s="317"/>
      <c r="H3" s="317"/>
      <c r="I3" s="317"/>
      <c r="J3" s="318"/>
    </row>
    <row r="4" spans="2:10" ht="15" customHeight="1">
      <c r="B4" s="57"/>
      <c r="C4" s="57"/>
      <c r="D4" s="9"/>
    </row>
    <row r="5" spans="2:10" ht="15" customHeight="1">
      <c r="B5" s="335" t="s">
        <v>150</v>
      </c>
      <c r="C5" s="336"/>
      <c r="D5" s="336"/>
      <c r="E5" s="336"/>
      <c r="F5" s="336"/>
      <c r="G5" s="336"/>
      <c r="H5" s="336"/>
      <c r="I5" s="336"/>
      <c r="J5" s="337"/>
    </row>
    <row r="6" spans="2:10" ht="15" customHeight="1">
      <c r="B6" s="85"/>
      <c r="C6" s="5"/>
      <c r="D6" s="64"/>
      <c r="E6" s="64"/>
      <c r="J6" s="86"/>
    </row>
    <row r="7" spans="2:10" ht="15" customHeight="1">
      <c r="B7" s="319" t="s">
        <v>151</v>
      </c>
      <c r="C7" s="320"/>
      <c r="D7" s="320"/>
      <c r="E7" s="320"/>
      <c r="F7" s="320"/>
      <c r="G7" s="320"/>
      <c r="H7" s="320"/>
      <c r="I7" s="320"/>
      <c r="J7" s="321"/>
    </row>
    <row r="8" spans="2:10" ht="15" customHeight="1">
      <c r="B8" s="87"/>
      <c r="C8" s="163"/>
      <c r="D8" s="64"/>
      <c r="E8" s="64"/>
      <c r="J8" s="86"/>
    </row>
    <row r="9" spans="2:10" ht="15" customHeight="1">
      <c r="B9" s="338" t="s">
        <v>152</v>
      </c>
      <c r="C9" s="339"/>
      <c r="D9" s="339"/>
      <c r="E9" s="339"/>
      <c r="F9" s="339"/>
      <c r="G9" s="339"/>
      <c r="H9" s="339"/>
      <c r="I9" s="339"/>
      <c r="J9" s="340"/>
    </row>
    <row r="10" spans="2:10" ht="15" customHeight="1">
      <c r="B10" s="341" t="s">
        <v>153</v>
      </c>
      <c r="C10" s="342"/>
      <c r="D10" s="342"/>
      <c r="E10" s="342"/>
      <c r="F10" s="342"/>
      <c r="G10" s="342"/>
      <c r="H10" s="342"/>
      <c r="I10" s="342"/>
      <c r="J10" s="343"/>
    </row>
    <row r="11" spans="2:10" ht="15" customHeight="1">
      <c r="B11" s="341" t="s">
        <v>154</v>
      </c>
      <c r="C11" s="342"/>
      <c r="D11" s="342"/>
      <c r="E11" s="342"/>
      <c r="F11" s="342"/>
      <c r="G11" s="342"/>
      <c r="H11" s="342"/>
      <c r="I11" s="342"/>
      <c r="J11" s="343"/>
    </row>
    <row r="12" spans="2:10" ht="15" customHeight="1">
      <c r="B12" s="341" t="s">
        <v>155</v>
      </c>
      <c r="C12" s="342"/>
      <c r="D12" s="342"/>
      <c r="E12" s="342"/>
      <c r="F12" s="342"/>
      <c r="G12" s="342"/>
      <c r="H12" s="342"/>
      <c r="I12" s="342"/>
      <c r="J12" s="343"/>
    </row>
    <row r="13" spans="2:10" ht="15" customHeight="1">
      <c r="B13" s="341" t="s">
        <v>156</v>
      </c>
      <c r="C13" s="342"/>
      <c r="D13" s="342"/>
      <c r="E13" s="342"/>
      <c r="F13" s="342"/>
      <c r="G13" s="342"/>
      <c r="H13" s="342"/>
      <c r="I13" s="342"/>
      <c r="J13" s="343"/>
    </row>
    <row r="14" spans="2:10" ht="15" customHeight="1">
      <c r="B14" s="341" t="s">
        <v>157</v>
      </c>
      <c r="C14" s="342"/>
      <c r="D14" s="342"/>
      <c r="E14" s="342"/>
      <c r="F14" s="342"/>
      <c r="G14" s="342"/>
      <c r="H14" s="342"/>
      <c r="I14" s="342"/>
      <c r="J14" s="343"/>
    </row>
    <row r="15" spans="2:10" ht="15" customHeight="1">
      <c r="B15" s="341" t="s">
        <v>158</v>
      </c>
      <c r="C15" s="342"/>
      <c r="D15" s="342"/>
      <c r="E15" s="342"/>
      <c r="F15" s="342"/>
      <c r="G15" s="342"/>
      <c r="H15" s="342"/>
      <c r="I15" s="342"/>
      <c r="J15" s="343"/>
    </row>
    <row r="16" spans="2:10" ht="15" customHeight="1">
      <c r="B16" s="344" t="s">
        <v>159</v>
      </c>
      <c r="C16" s="345"/>
      <c r="D16" s="345"/>
      <c r="E16" s="345"/>
      <c r="F16" s="345"/>
      <c r="G16" s="345"/>
      <c r="H16" s="345"/>
      <c r="I16" s="345"/>
      <c r="J16" s="346"/>
    </row>
    <row r="17" spans="2:10" ht="24.95" customHeight="1">
      <c r="D17" s="9"/>
    </row>
    <row r="18" spans="2:10" ht="17.100000000000001" customHeight="1">
      <c r="B18" s="322" t="s">
        <v>160</v>
      </c>
      <c r="C18" s="323"/>
      <c r="D18" s="149" t="s">
        <v>140</v>
      </c>
      <c r="E18" s="149" t="s">
        <v>140</v>
      </c>
      <c r="F18" s="149" t="s">
        <v>140</v>
      </c>
      <c r="G18" s="148" t="s">
        <v>140</v>
      </c>
      <c r="H18" s="150" t="s">
        <v>140</v>
      </c>
      <c r="I18" s="150" t="s">
        <v>140</v>
      </c>
      <c r="J18" s="150" t="s">
        <v>140</v>
      </c>
    </row>
    <row r="19" spans="2:10" ht="17.100000000000001" customHeight="1">
      <c r="B19" s="324"/>
      <c r="C19" s="325"/>
      <c r="D19" s="151">
        <v>0.05</v>
      </c>
      <c r="E19" s="151">
        <v>0.04</v>
      </c>
      <c r="F19" s="151">
        <v>3.5000000000000003E-2</v>
      </c>
      <c r="G19" s="152">
        <v>0.03</v>
      </c>
      <c r="H19" s="153">
        <v>2.5000000000000001E-2</v>
      </c>
      <c r="I19" s="153">
        <v>0.02</v>
      </c>
      <c r="J19" s="153">
        <v>1.4999999999999999E-2</v>
      </c>
    </row>
    <row r="20" spans="2:10" ht="17.100000000000001" customHeight="1">
      <c r="B20" s="81" t="s">
        <v>174</v>
      </c>
      <c r="C20" s="164" t="s">
        <v>175</v>
      </c>
      <c r="D20" s="147">
        <v>0.04</v>
      </c>
      <c r="E20" s="147">
        <v>0.04</v>
      </c>
      <c r="F20" s="147">
        <v>0.04</v>
      </c>
      <c r="G20" s="147">
        <v>0.04</v>
      </c>
      <c r="H20" s="147">
        <v>0.04</v>
      </c>
      <c r="I20" s="147">
        <v>0.04</v>
      </c>
      <c r="J20" s="147">
        <v>0.04</v>
      </c>
    </row>
    <row r="21" spans="2:10" ht="17.100000000000001" customHeight="1">
      <c r="B21" s="81" t="s">
        <v>176</v>
      </c>
      <c r="C21" s="11" t="s">
        <v>177</v>
      </c>
      <c r="D21" s="69">
        <v>1.23E-2</v>
      </c>
      <c r="E21" s="69">
        <v>1.23E-2</v>
      </c>
      <c r="F21" s="69">
        <v>1.23E-2</v>
      </c>
      <c r="G21" s="69">
        <v>1.23E-2</v>
      </c>
      <c r="H21" s="69">
        <v>1.23E-2</v>
      </c>
      <c r="I21" s="69">
        <v>1.23E-2</v>
      </c>
      <c r="J21" s="69">
        <v>1.23E-2</v>
      </c>
    </row>
    <row r="22" spans="2:10" ht="17.100000000000001" customHeight="1">
      <c r="B22" s="81" t="s">
        <v>178</v>
      </c>
      <c r="C22" s="11" t="s">
        <v>179</v>
      </c>
      <c r="D22" s="69">
        <v>8.0000000000000002E-3</v>
      </c>
      <c r="E22" s="69">
        <v>8.0000000000000002E-3</v>
      </c>
      <c r="F22" s="69">
        <v>8.0000000000000002E-3</v>
      </c>
      <c r="G22" s="69">
        <v>8.0000000000000002E-3</v>
      </c>
      <c r="H22" s="69">
        <v>8.0000000000000002E-3</v>
      </c>
      <c r="I22" s="69">
        <v>8.0000000000000002E-3</v>
      </c>
      <c r="J22" s="69">
        <v>8.0000000000000002E-3</v>
      </c>
    </row>
    <row r="23" spans="2:10" ht="17.100000000000001" customHeight="1">
      <c r="B23" s="81" t="s">
        <v>180</v>
      </c>
      <c r="C23" s="11" t="s">
        <v>181</v>
      </c>
      <c r="D23" s="69">
        <v>1.2699999999999999E-2</v>
      </c>
      <c r="E23" s="69">
        <v>1.2699999999999999E-2</v>
      </c>
      <c r="F23" s="69">
        <v>1.2699999999999999E-2</v>
      </c>
      <c r="G23" s="69">
        <v>1.2699999999999999E-2</v>
      </c>
      <c r="H23" s="69">
        <v>1.2699999999999999E-2</v>
      </c>
      <c r="I23" s="69">
        <v>1.2699999999999999E-2</v>
      </c>
      <c r="J23" s="69">
        <v>1.2699999999999999E-2</v>
      </c>
    </row>
    <row r="24" spans="2:10" ht="17.100000000000001" customHeight="1">
      <c r="B24" s="81" t="s">
        <v>182</v>
      </c>
      <c r="C24" s="11" t="s">
        <v>183</v>
      </c>
      <c r="D24" s="69">
        <v>7.3999999999999996E-2</v>
      </c>
      <c r="E24" s="69">
        <v>7.3999999999999996E-2</v>
      </c>
      <c r="F24" s="69">
        <v>7.3999999999999996E-2</v>
      </c>
      <c r="G24" s="69">
        <v>7.3999999999999996E-2</v>
      </c>
      <c r="H24" s="69">
        <v>7.3999999999999996E-2</v>
      </c>
      <c r="I24" s="69">
        <v>7.3999999999999996E-2</v>
      </c>
      <c r="J24" s="69">
        <v>7.3999999999999996E-2</v>
      </c>
    </row>
    <row r="25" spans="2:10" ht="17.100000000000001" customHeight="1">
      <c r="B25" s="326" t="s">
        <v>184</v>
      </c>
      <c r="C25" s="11" t="s">
        <v>185</v>
      </c>
      <c r="D25" s="69">
        <v>6.4999999999999997E-3</v>
      </c>
      <c r="E25" s="69">
        <v>6.4999999999999997E-3</v>
      </c>
      <c r="F25" s="69">
        <v>6.4999999999999997E-3</v>
      </c>
      <c r="G25" s="69">
        <v>6.4999999999999997E-3</v>
      </c>
      <c r="H25" s="69">
        <v>6.4999999999999997E-3</v>
      </c>
      <c r="I25" s="69">
        <v>6.4999999999999997E-3</v>
      </c>
      <c r="J25" s="69">
        <v>6.4999999999999997E-3</v>
      </c>
    </row>
    <row r="26" spans="2:10" ht="17.100000000000001" customHeight="1">
      <c r="B26" s="326"/>
      <c r="C26" s="81" t="s">
        <v>186</v>
      </c>
      <c r="D26" s="70">
        <v>0.03</v>
      </c>
      <c r="E26" s="70">
        <v>0.03</v>
      </c>
      <c r="F26" s="70">
        <v>0.03</v>
      </c>
      <c r="G26" s="70">
        <v>0.03</v>
      </c>
      <c r="H26" s="70">
        <v>0.03</v>
      </c>
      <c r="I26" s="70">
        <v>0.03</v>
      </c>
      <c r="J26" s="70">
        <v>0.03</v>
      </c>
    </row>
    <row r="27" spans="2:10" ht="17.100000000000001" customHeight="1">
      <c r="B27" s="326"/>
      <c r="C27" s="81" t="s">
        <v>140</v>
      </c>
      <c r="D27" s="70">
        <v>0.05</v>
      </c>
      <c r="E27" s="70">
        <v>0.04</v>
      </c>
      <c r="F27" s="69">
        <v>3.5000000000000003E-2</v>
      </c>
      <c r="G27" s="70">
        <v>0.03</v>
      </c>
      <c r="H27" s="70">
        <v>2.5000000000000001E-2</v>
      </c>
      <c r="I27" s="70">
        <v>0.02</v>
      </c>
      <c r="J27" s="69">
        <v>1.4999999999999999E-2</v>
      </c>
    </row>
    <row r="28" spans="2:10" ht="17.100000000000001" customHeight="1">
      <c r="B28" s="326"/>
      <c r="C28" s="81" t="s">
        <v>187</v>
      </c>
      <c r="D28" s="70">
        <v>4.4999999999999998E-2</v>
      </c>
      <c r="E28" s="70">
        <v>4.4999999999999998E-2</v>
      </c>
      <c r="F28" s="70">
        <v>4.4999999999999998E-2</v>
      </c>
      <c r="G28" s="70">
        <v>4.4999999999999998E-2</v>
      </c>
      <c r="H28" s="70">
        <v>4.4999999999999998E-2</v>
      </c>
      <c r="I28" s="70">
        <v>4.4999999999999998E-2</v>
      </c>
      <c r="J28" s="70">
        <v>4.4999999999999998E-2</v>
      </c>
    </row>
    <row r="29" spans="2:10" ht="20.100000000000001" customHeight="1">
      <c r="B29" s="327" t="s">
        <v>161</v>
      </c>
      <c r="C29" s="328"/>
      <c r="D29" s="165">
        <f>(((1+D22+D20+D23)*(1+D21)*(1+D24))/(1-(D25+D26+D27+D28))-1)</f>
        <v>0.327811006493955</v>
      </c>
      <c r="E29" s="165">
        <f t="shared" ref="E29:J29" si="0">(((1+E22+E20+E23)*(1+E21)*(1+E24))/(1-(E25+E26+E27+E28))-1)</f>
        <v>0.31269648166192376</v>
      </c>
      <c r="F29" s="165">
        <f t="shared" si="0"/>
        <v>0.30526752590831929</v>
      </c>
      <c r="G29" s="165">
        <f t="shared" si="0"/>
        <v>0.29792218248733837</v>
      </c>
      <c r="H29" s="165">
        <f t="shared" si="0"/>
        <v>0.29065904772244</v>
      </c>
      <c r="I29" s="165">
        <f t="shared" si="0"/>
        <v>0.28347674918197008</v>
      </c>
      <c r="J29" s="165">
        <f t="shared" si="0"/>
        <v>0.27637394481460986</v>
      </c>
    </row>
    <row r="30" spans="2:10" ht="20.100000000000001" customHeight="1">
      <c r="B30" s="329" t="s">
        <v>162</v>
      </c>
      <c r="C30" s="330"/>
      <c r="D30" s="80">
        <f t="shared" ref="D30:J30" si="1">ROUND(D29,4)</f>
        <v>0.32779999999999998</v>
      </c>
      <c r="E30" s="80">
        <f t="shared" si="1"/>
        <v>0.31269999999999998</v>
      </c>
      <c r="F30" s="80">
        <f t="shared" si="1"/>
        <v>0.30530000000000002</v>
      </c>
      <c r="G30" s="80">
        <f t="shared" si="1"/>
        <v>0.2979</v>
      </c>
      <c r="H30" s="80">
        <f t="shared" si="1"/>
        <v>0.29070000000000001</v>
      </c>
      <c r="I30" s="80">
        <f t="shared" si="1"/>
        <v>0.28349999999999997</v>
      </c>
      <c r="J30" s="80">
        <f t="shared" si="1"/>
        <v>0.27639999999999998</v>
      </c>
    </row>
    <row r="31" spans="2:10" ht="24.95" customHeight="1">
      <c r="B31" s="48"/>
      <c r="C31" s="48"/>
      <c r="D31" s="38"/>
      <c r="E31" s="38"/>
      <c r="F31" s="38"/>
      <c r="G31" s="38"/>
      <c r="H31" s="38"/>
      <c r="I31" s="38"/>
      <c r="J31" s="38"/>
    </row>
    <row r="32" spans="2:10" ht="17.100000000000001" customHeight="1">
      <c r="B32" s="322" t="s">
        <v>163</v>
      </c>
      <c r="C32" s="323"/>
      <c r="D32" s="149" t="s">
        <v>140</v>
      </c>
      <c r="E32" s="149" t="s">
        <v>140</v>
      </c>
      <c r="F32" s="149" t="s">
        <v>140</v>
      </c>
      <c r="G32" s="148" t="s">
        <v>140</v>
      </c>
      <c r="H32" s="150" t="s">
        <v>140</v>
      </c>
      <c r="I32" s="150" t="s">
        <v>140</v>
      </c>
      <c r="J32" s="150" t="s">
        <v>140</v>
      </c>
    </row>
    <row r="33" spans="2:10" ht="17.100000000000001" customHeight="1">
      <c r="B33" s="324"/>
      <c r="C33" s="325"/>
      <c r="D33" s="151">
        <v>0.05</v>
      </c>
      <c r="E33" s="151">
        <v>0.04</v>
      </c>
      <c r="F33" s="151">
        <v>3.5000000000000003E-2</v>
      </c>
      <c r="G33" s="152">
        <v>0.03</v>
      </c>
      <c r="H33" s="153">
        <v>2.5000000000000001E-2</v>
      </c>
      <c r="I33" s="153">
        <v>0.02</v>
      </c>
      <c r="J33" s="153">
        <v>1.4999999999999999E-2</v>
      </c>
    </row>
    <row r="34" spans="2:10" ht="17.100000000000001" customHeight="1">
      <c r="B34" s="81" t="s">
        <v>174</v>
      </c>
      <c r="C34" s="164" t="s">
        <v>175</v>
      </c>
      <c r="D34" s="69">
        <v>3.4500000000000003E-2</v>
      </c>
      <c r="E34" s="69">
        <v>3.4500000000000003E-2</v>
      </c>
      <c r="F34" s="69">
        <v>3.4500000000000003E-2</v>
      </c>
      <c r="G34" s="69">
        <v>3.4500000000000003E-2</v>
      </c>
      <c r="H34" s="69">
        <v>3.4500000000000003E-2</v>
      </c>
      <c r="I34" s="69">
        <v>3.4500000000000003E-2</v>
      </c>
      <c r="J34" s="69">
        <v>3.4500000000000003E-2</v>
      </c>
    </row>
    <row r="35" spans="2:10" ht="17.100000000000001" customHeight="1">
      <c r="B35" s="81" t="s">
        <v>176</v>
      </c>
      <c r="C35" s="11" t="s">
        <v>177</v>
      </c>
      <c r="D35" s="69">
        <v>8.5000000000000006E-3</v>
      </c>
      <c r="E35" s="69">
        <v>8.5000000000000006E-3</v>
      </c>
      <c r="F35" s="69">
        <v>8.5000000000000006E-3</v>
      </c>
      <c r="G35" s="69">
        <v>8.5000000000000006E-3</v>
      </c>
      <c r="H35" s="69">
        <v>8.5000000000000006E-3</v>
      </c>
      <c r="I35" s="69">
        <v>8.5000000000000006E-3</v>
      </c>
      <c r="J35" s="69">
        <v>8.5000000000000006E-3</v>
      </c>
    </row>
    <row r="36" spans="2:10" ht="17.100000000000001" customHeight="1">
      <c r="B36" s="81" t="s">
        <v>178</v>
      </c>
      <c r="C36" s="11" t="s">
        <v>179</v>
      </c>
      <c r="D36" s="69">
        <v>4.7999999999999996E-3</v>
      </c>
      <c r="E36" s="69">
        <v>4.7999999999999996E-3</v>
      </c>
      <c r="F36" s="69">
        <v>4.7999999999999996E-3</v>
      </c>
      <c r="G36" s="69">
        <v>4.7999999999999996E-3</v>
      </c>
      <c r="H36" s="69">
        <v>4.7999999999999996E-3</v>
      </c>
      <c r="I36" s="69">
        <v>4.7999999999999996E-3</v>
      </c>
      <c r="J36" s="69">
        <v>4.7999999999999996E-3</v>
      </c>
    </row>
    <row r="37" spans="2:10" ht="17.100000000000001" customHeight="1">
      <c r="B37" s="81" t="s">
        <v>180</v>
      </c>
      <c r="C37" s="11" t="s">
        <v>181</v>
      </c>
      <c r="D37" s="69">
        <v>8.5000000000000006E-3</v>
      </c>
      <c r="E37" s="69">
        <v>8.5000000000000006E-3</v>
      </c>
      <c r="F37" s="69">
        <v>8.5000000000000006E-3</v>
      </c>
      <c r="G37" s="69">
        <v>8.5000000000000006E-3</v>
      </c>
      <c r="H37" s="69">
        <v>8.5000000000000006E-3</v>
      </c>
      <c r="I37" s="69">
        <v>8.5000000000000006E-3</v>
      </c>
      <c r="J37" s="69">
        <v>8.5000000000000006E-3</v>
      </c>
    </row>
    <row r="38" spans="2:10" ht="17.100000000000001" customHeight="1">
      <c r="B38" s="81" t="s">
        <v>182</v>
      </c>
      <c r="C38" s="11" t="s">
        <v>183</v>
      </c>
      <c r="D38" s="69">
        <v>5.11E-2</v>
      </c>
      <c r="E38" s="69">
        <v>5.11E-2</v>
      </c>
      <c r="F38" s="69">
        <v>5.11E-2</v>
      </c>
      <c r="G38" s="69">
        <v>5.11E-2</v>
      </c>
      <c r="H38" s="69">
        <v>5.11E-2</v>
      </c>
      <c r="I38" s="69">
        <v>5.11E-2</v>
      </c>
      <c r="J38" s="69">
        <v>5.11E-2</v>
      </c>
    </row>
    <row r="39" spans="2:10" ht="17.100000000000001" customHeight="1">
      <c r="B39" s="326" t="s">
        <v>184</v>
      </c>
      <c r="C39" s="11" t="s">
        <v>185</v>
      </c>
      <c r="D39" s="69">
        <v>6.4999999999999997E-3</v>
      </c>
      <c r="E39" s="69">
        <v>6.4999999999999997E-3</v>
      </c>
      <c r="F39" s="69">
        <v>6.4999999999999997E-3</v>
      </c>
      <c r="G39" s="69">
        <v>6.4999999999999997E-3</v>
      </c>
      <c r="H39" s="69">
        <v>6.4999999999999997E-3</v>
      </c>
      <c r="I39" s="69">
        <v>6.4999999999999997E-3</v>
      </c>
      <c r="J39" s="69">
        <v>6.4999999999999997E-3</v>
      </c>
    </row>
    <row r="40" spans="2:10" ht="17.100000000000001" customHeight="1">
      <c r="B40" s="326"/>
      <c r="C40" s="81" t="s">
        <v>186</v>
      </c>
      <c r="D40" s="70">
        <v>0.03</v>
      </c>
      <c r="E40" s="70">
        <v>0.03</v>
      </c>
      <c r="F40" s="70">
        <v>0.03</v>
      </c>
      <c r="G40" s="70">
        <v>0.03</v>
      </c>
      <c r="H40" s="70">
        <v>0.03</v>
      </c>
      <c r="I40" s="70">
        <v>0.03</v>
      </c>
      <c r="J40" s="70">
        <v>0.03</v>
      </c>
    </row>
    <row r="41" spans="2:10" ht="17.100000000000001" customHeight="1">
      <c r="B41" s="326"/>
      <c r="C41" s="81" t="s">
        <v>140</v>
      </c>
      <c r="D41" s="70">
        <v>0</v>
      </c>
      <c r="E41" s="70">
        <v>0</v>
      </c>
      <c r="F41" s="69">
        <v>0</v>
      </c>
      <c r="G41" s="70">
        <v>0</v>
      </c>
      <c r="H41" s="70">
        <v>0</v>
      </c>
      <c r="I41" s="70">
        <v>0</v>
      </c>
      <c r="J41" s="69">
        <v>0</v>
      </c>
    </row>
    <row r="42" spans="2:10" ht="17.100000000000001" customHeight="1">
      <c r="B42" s="326"/>
      <c r="C42" s="81" t="s">
        <v>187</v>
      </c>
      <c r="D42" s="70">
        <v>4.4999999999999998E-2</v>
      </c>
      <c r="E42" s="70">
        <v>4.4999999999999998E-2</v>
      </c>
      <c r="F42" s="70">
        <v>4.4999999999999998E-2</v>
      </c>
      <c r="G42" s="70">
        <v>4.4999999999999998E-2</v>
      </c>
      <c r="H42" s="70">
        <v>4.4999999999999998E-2</v>
      </c>
      <c r="I42" s="70">
        <v>4.4999999999999998E-2</v>
      </c>
      <c r="J42" s="70">
        <v>4.4999999999999998E-2</v>
      </c>
    </row>
    <row r="43" spans="2:10" ht="17.100000000000001" customHeight="1">
      <c r="B43" s="331" t="s">
        <v>161</v>
      </c>
      <c r="C43" s="332"/>
      <c r="D43" s="165">
        <f>(((1+D36+D34+D37)*(1+D35)*(1+D38))/(1-(D39+D40+D41+D42))-1)</f>
        <v>0.20925856497550321</v>
      </c>
      <c r="E43" s="165">
        <f t="shared" ref="E43:J43" si="2">(((1+E36+E34+E37)*(1+E35)*(1+E38))/(1-(E39+E40+E41+E42))-1)</f>
        <v>0.20925856497550321</v>
      </c>
      <c r="F43" s="165">
        <f t="shared" si="2"/>
        <v>0.20925856497550321</v>
      </c>
      <c r="G43" s="165">
        <f t="shared" si="2"/>
        <v>0.20925856497550321</v>
      </c>
      <c r="H43" s="165">
        <f t="shared" si="2"/>
        <v>0.20925856497550321</v>
      </c>
      <c r="I43" s="165">
        <f t="shared" si="2"/>
        <v>0.20925856497550321</v>
      </c>
      <c r="J43" s="165">
        <f t="shared" si="2"/>
        <v>0.20925856497550321</v>
      </c>
    </row>
    <row r="44" spans="2:10" ht="20.100000000000001" customHeight="1">
      <c r="B44" s="333" t="s">
        <v>162</v>
      </c>
      <c r="C44" s="334"/>
      <c r="D44" s="80">
        <f t="shared" ref="D44:J44" si="3">ROUND(D43,4)</f>
        <v>0.20930000000000001</v>
      </c>
      <c r="E44" s="80">
        <f t="shared" si="3"/>
        <v>0.20930000000000001</v>
      </c>
      <c r="F44" s="80">
        <f t="shared" si="3"/>
        <v>0.20930000000000001</v>
      </c>
      <c r="G44" s="80">
        <f t="shared" si="3"/>
        <v>0.20930000000000001</v>
      </c>
      <c r="H44" s="80">
        <f t="shared" si="3"/>
        <v>0.20930000000000001</v>
      </c>
      <c r="I44" s="80">
        <f t="shared" si="3"/>
        <v>0.20930000000000001</v>
      </c>
      <c r="J44" s="80">
        <f t="shared" si="3"/>
        <v>0.20930000000000001</v>
      </c>
    </row>
    <row r="65540" ht="12.75" customHeight="1"/>
    <row r="65541" ht="12.75" customHeight="1"/>
  </sheetData>
  <mergeCells count="20">
    <mergeCell ref="B43:C43"/>
    <mergeCell ref="B44:C44"/>
    <mergeCell ref="B5:J5"/>
    <mergeCell ref="B39:B42"/>
    <mergeCell ref="B9:J9"/>
    <mergeCell ref="B10:J10"/>
    <mergeCell ref="B11:J11"/>
    <mergeCell ref="B12:J12"/>
    <mergeCell ref="B13:J13"/>
    <mergeCell ref="B14:J14"/>
    <mergeCell ref="B15:J15"/>
    <mergeCell ref="B16:J16"/>
    <mergeCell ref="B2:J2"/>
    <mergeCell ref="B3:J3"/>
    <mergeCell ref="B7:J7"/>
    <mergeCell ref="B18:C19"/>
    <mergeCell ref="B32:C33"/>
    <mergeCell ref="B25:B28"/>
    <mergeCell ref="B29:C29"/>
    <mergeCell ref="B30:C30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28"/>
  <sheetViews>
    <sheetView showGridLines="0" zoomScale="110" zoomScaleNormal="110" workbookViewId="0">
      <selection activeCell="J21" sqref="J21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47" t="str">
        <f>"DIVISÃO DOS CUSTOS POR ALÍQUOTA DE ISSQN - "&amp;'Valor da Contratação'!B7&amp;""</f>
        <v>DIVISÃO DOS CUSTOS POR ALÍQUOTA DE ISSQN - POLO VII</v>
      </c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</row>
    <row r="3" spans="2:249" ht="17.100000000000001" customHeight="1"/>
    <row r="4" spans="2:249" ht="45.75" customHeight="1">
      <c r="B4" s="131" t="s">
        <v>33</v>
      </c>
      <c r="C4" s="132" t="s">
        <v>164</v>
      </c>
      <c r="D4" s="132" t="s">
        <v>165</v>
      </c>
      <c r="E4" s="132" t="s">
        <v>166</v>
      </c>
      <c r="F4" s="79"/>
      <c r="G4" s="132" t="s">
        <v>167</v>
      </c>
      <c r="H4" s="132" t="s">
        <v>168</v>
      </c>
      <c r="I4" s="132" t="s">
        <v>169</v>
      </c>
      <c r="J4" s="132" t="s">
        <v>170</v>
      </c>
      <c r="K4" s="132" t="s">
        <v>171</v>
      </c>
      <c r="L4" s="132" t="s">
        <v>172</v>
      </c>
      <c r="M4" s="132" t="s">
        <v>173</v>
      </c>
    </row>
    <row r="5" spans="2:249" ht="15" customHeight="1">
      <c r="B5" s="108" t="str">
        <f>'Base Porto Alegre'!B7</f>
        <v>APS CACHOEIRINHA</v>
      </c>
      <c r="C5" s="129">
        <f>VLOOKUP(B5,Unidades!$D$5:$G$27,4,)</f>
        <v>0.03</v>
      </c>
      <c r="D5" s="130">
        <f>'Base Porto Alegre'!AD7*12+'Base Porto Alegre'!AE7*4+'Base Porto Alegre'!AF7*2+'Base Porto Alegre'!AG7</f>
        <v>10788.297200725512</v>
      </c>
      <c r="E5" s="130">
        <f>'Base Porto Alegre'!AK7*12+'Base Porto Alegre'!AL7*4+'Base Porto Alegre'!AM7*2+'Base Porto Alegre'!AN7</f>
        <v>14002.130936821646</v>
      </c>
      <c r="G5" s="133">
        <v>0.02</v>
      </c>
      <c r="H5" s="135">
        <f t="shared" ref="H5:H11" si="0">SUMIF(C$5:C$27,G5,D$5:D$27)</f>
        <v>77043.572799778311</v>
      </c>
      <c r="I5" s="135">
        <f t="shared" ref="I5:I11" si="1">SUMIF(C$5:C$27,G5,E$5:E$27)</f>
        <v>98885.425688515461</v>
      </c>
      <c r="J5" s="135">
        <f t="shared" ref="J5:K11" si="2">H5*4</f>
        <v>308174.29119911324</v>
      </c>
      <c r="K5" s="135">
        <f t="shared" si="2"/>
        <v>395541.70275406184</v>
      </c>
      <c r="L5" s="134">
        <f>H5/H$13</f>
        <v>0.31996393955360342</v>
      </c>
      <c r="M5" s="134">
        <f t="shared" ref="L5:M11" si="3">I5/I$13</f>
        <v>0.31642238717287446</v>
      </c>
    </row>
    <row r="6" spans="2:249" ht="15" customHeight="1">
      <c r="B6" s="108" t="str">
        <f>'Base Porto Alegre'!B8</f>
        <v>APS ESTEIO</v>
      </c>
      <c r="C6" s="129">
        <f>VLOOKUP(B6,Unidades!$D$5:$G$27,4,)</f>
        <v>0.02</v>
      </c>
      <c r="D6" s="130">
        <f>'Base Porto Alegre'!AD8*12+'Base Porto Alegre'!AE8*4+'Base Porto Alegre'!AF8*2+'Base Porto Alegre'!AG8</f>
        <v>10807.938367392178</v>
      </c>
      <c r="E6" s="130">
        <f>'Base Porto Alegre'!AK8*12+'Base Porto Alegre'!AL8*4+'Base Porto Alegre'!AM8*2+'Base Porto Alegre'!AN8</f>
        <v>13871.988894547863</v>
      </c>
      <c r="G6" s="133">
        <v>2.5000000000000001E-2</v>
      </c>
      <c r="H6" s="135">
        <f t="shared" si="0"/>
        <v>10788.297200725512</v>
      </c>
      <c r="I6" s="135">
        <f t="shared" si="1"/>
        <v>13924.455196976418</v>
      </c>
      <c r="J6" s="135">
        <f t="shared" si="2"/>
        <v>43153.188802902048</v>
      </c>
      <c r="K6" s="135">
        <f t="shared" si="2"/>
        <v>55697.820787905672</v>
      </c>
      <c r="L6" s="134">
        <f t="shared" si="3"/>
        <v>4.4804075771381922E-2</v>
      </c>
      <c r="M6" s="134">
        <f t="shared" si="3"/>
        <v>4.4556711192079441E-2</v>
      </c>
    </row>
    <row r="7" spans="2:249" ht="15" customHeight="1">
      <c r="B7" s="108" t="str">
        <f>'Base Porto Alegre'!B9</f>
        <v>APS GRAVATAÍ</v>
      </c>
      <c r="C7" s="129">
        <f>VLOOKUP(B7,Unidades!$D$5:$G$27,4,)</f>
        <v>2.5000000000000001E-2</v>
      </c>
      <c r="D7" s="130">
        <f>'Base Porto Alegre'!AD9*12+'Base Porto Alegre'!AE9*4+'Base Porto Alegre'!AF9*2+'Base Porto Alegre'!AG9</f>
        <v>10788.297200725512</v>
      </c>
      <c r="E7" s="130">
        <f>'Base Porto Alegre'!AK9*12+'Base Porto Alegre'!AL9*4+'Base Porto Alegre'!AM9*2+'Base Porto Alegre'!AN9</f>
        <v>13924.455196976418</v>
      </c>
      <c r="G7" s="133">
        <v>0.03</v>
      </c>
      <c r="H7" s="135">
        <f t="shared" si="0"/>
        <v>66583.456505945185</v>
      </c>
      <c r="I7" s="135">
        <f t="shared" si="1"/>
        <v>86418.668199066247</v>
      </c>
      <c r="J7" s="135">
        <f t="shared" si="2"/>
        <v>266333.82602378074</v>
      </c>
      <c r="K7" s="135">
        <f t="shared" si="2"/>
        <v>345674.67279626499</v>
      </c>
      <c r="L7" s="134">
        <f t="shared" si="3"/>
        <v>0.27652280753002062</v>
      </c>
      <c r="M7" s="134">
        <f t="shared" si="3"/>
        <v>0.27653014685889082</v>
      </c>
    </row>
    <row r="8" spans="2:249" ht="15" customHeight="1">
      <c r="B8" s="108" t="str">
        <f>'Base Porto Alegre'!B10</f>
        <v>APS GUAÍBA</v>
      </c>
      <c r="C8" s="129">
        <f>VLOOKUP(B8,Unidades!$D$5:$G$27,4,)</f>
        <v>0.02</v>
      </c>
      <c r="D8" s="130">
        <f>'Base Porto Alegre'!AD10*12+'Base Porto Alegre'!AE10*4+'Base Porto Alegre'!AF10*2+'Base Porto Alegre'!AG10</f>
        <v>10048.919940346634</v>
      </c>
      <c r="E8" s="130">
        <f>'Base Porto Alegre'!AK10*12+'Base Porto Alegre'!AL10*4+'Base Porto Alegre'!AM10*2+'Base Porto Alegre'!AN10</f>
        <v>12897.788743434905</v>
      </c>
      <c r="G8" s="133">
        <v>3.5000000000000003E-2</v>
      </c>
      <c r="H8" s="135">
        <f t="shared" si="0"/>
        <v>13447.474629282544</v>
      </c>
      <c r="I8" s="135">
        <f t="shared" si="1"/>
        <v>17552.988633602505</v>
      </c>
      <c r="J8" s="135">
        <f t="shared" si="2"/>
        <v>53789.898517130176</v>
      </c>
      <c r="K8" s="135">
        <f t="shared" si="2"/>
        <v>70211.954534410019</v>
      </c>
      <c r="L8" s="134">
        <f t="shared" si="3"/>
        <v>5.5847708031587499E-2</v>
      </c>
      <c r="M8" s="134">
        <f t="shared" si="3"/>
        <v>5.6167615468008206E-2</v>
      </c>
    </row>
    <row r="9" spans="2:249" s="17" customFormat="1" ht="15" customHeight="1">
      <c r="B9" s="108" t="str">
        <f>'Base Porto Alegre'!B11</f>
        <v>CEDOCPREV CANOAS</v>
      </c>
      <c r="C9" s="129">
        <f>VLOOKUP(B9,Unidades!$D$5:$G$27,4,)</f>
        <v>0.03</v>
      </c>
      <c r="D9" s="130">
        <f>'Base Porto Alegre'!AD11*12+'Base Porto Alegre'!AE11*4+'Base Porto Alegre'!AF11*2+'Base Porto Alegre'!AG11</f>
        <v>6437.2350750705355</v>
      </c>
      <c r="E9" s="130">
        <f>'Base Porto Alegre'!AK11*12+'Base Porto Alegre'!AL11*4+'Base Porto Alegre'!AM11*2+'Base Porto Alegre'!AN11</f>
        <v>8354.8874039340481</v>
      </c>
      <c r="G9" s="133">
        <v>0.04</v>
      </c>
      <c r="H9" s="135">
        <f t="shared" si="0"/>
        <v>72925.498030935094</v>
      </c>
      <c r="I9" s="135">
        <f t="shared" si="1"/>
        <v>95729.301265208487</v>
      </c>
      <c r="J9" s="135">
        <f t="shared" si="2"/>
        <v>291701.99212374038</v>
      </c>
      <c r="K9" s="135">
        <f t="shared" si="2"/>
        <v>382917.20506083395</v>
      </c>
      <c r="L9" s="134">
        <f t="shared" si="3"/>
        <v>0.3028614691134065</v>
      </c>
      <c r="M9" s="134">
        <f t="shared" si="3"/>
        <v>0.30632313930814703</v>
      </c>
      <c r="IO9" s="18"/>
    </row>
    <row r="10" spans="2:249" s="17" customFormat="1" ht="15" customHeight="1">
      <c r="B10" s="108" t="str">
        <f>'Base Porto Alegre'!B12</f>
        <v>DEPÓSITO ESTEIO</v>
      </c>
      <c r="C10" s="129">
        <f>VLOOKUP(B10,Unidades!$D$5:$G$27,4,)</f>
        <v>0.02</v>
      </c>
      <c r="D10" s="130">
        <f>'Base Porto Alegre'!AD12*12+'Base Porto Alegre'!AE12*4+'Base Porto Alegre'!AF12*2+'Base Porto Alegre'!AG12</f>
        <v>6584.5438250705356</v>
      </c>
      <c r="E10" s="130">
        <f>'Base Porto Alegre'!AK12*12+'Base Porto Alegre'!AL12*4+'Base Porto Alegre'!AM12*2+'Base Porto Alegre'!AN12</f>
        <v>8451.2619994780325</v>
      </c>
      <c r="G10" s="133">
        <v>4.4999999999999998E-2</v>
      </c>
      <c r="H10" s="135">
        <f t="shared" si="0"/>
        <v>0</v>
      </c>
      <c r="I10" s="135">
        <f t="shared" si="1"/>
        <v>0</v>
      </c>
      <c r="J10" s="135">
        <f t="shared" si="2"/>
        <v>0</v>
      </c>
      <c r="K10" s="135">
        <f t="shared" si="2"/>
        <v>0</v>
      </c>
      <c r="L10" s="134">
        <f t="shared" si="3"/>
        <v>0</v>
      </c>
      <c r="M10" s="134">
        <f t="shared" si="3"/>
        <v>0</v>
      </c>
      <c r="IO10" s="18"/>
    </row>
    <row r="11" spans="2:249" ht="15" customHeight="1">
      <c r="B11" s="108" t="str">
        <f>'Base Porto Alegre'!B13</f>
        <v>GEX/APS CANOAS</v>
      </c>
      <c r="C11" s="129">
        <f>VLOOKUP(B11,Unidades!$D$5:$G$27,4,)</f>
        <v>0.03</v>
      </c>
      <c r="D11" s="130">
        <f>'Base Porto Alegre'!AD13*12+'Base Porto Alegre'!AE13*4+'Base Porto Alegre'!AF13*2+'Base Porto Alegre'!AG13</f>
        <v>14677.881056328093</v>
      </c>
      <c r="E11" s="130">
        <f>'Base Porto Alegre'!AK13*12+'Base Porto Alegre'!AL13*4+'Base Porto Alegre'!AM13*2+'Base Porto Alegre'!AN13</f>
        <v>19050.42182300823</v>
      </c>
      <c r="G11" s="133">
        <v>0.05</v>
      </c>
      <c r="H11" s="135">
        <f t="shared" si="0"/>
        <v>0</v>
      </c>
      <c r="I11" s="135">
        <f t="shared" si="1"/>
        <v>0</v>
      </c>
      <c r="J11" s="135">
        <f t="shared" si="2"/>
        <v>0</v>
      </c>
      <c r="K11" s="135">
        <f t="shared" si="2"/>
        <v>0</v>
      </c>
      <c r="L11" s="134">
        <f t="shared" si="3"/>
        <v>0</v>
      </c>
      <c r="M11" s="134">
        <f t="shared" si="3"/>
        <v>0</v>
      </c>
    </row>
    <row r="12" spans="2:249" ht="15" customHeight="1">
      <c r="B12" s="108" t="str">
        <f>'Base Porto Alegre'!B14</f>
        <v>APS ALVORADA</v>
      </c>
      <c r="C12" s="129">
        <f>VLOOKUP(B12,Unidades!$D$5:$G$27,4,)</f>
        <v>0.03</v>
      </c>
      <c r="D12" s="130">
        <f>'Base Porto Alegre'!AD14*12+'Base Porto Alegre'!AE14*4+'Base Porto Alegre'!AF14*2+'Base Porto Alegre'!AG14</f>
        <v>7075.5729917372028</v>
      </c>
      <c r="E12" s="130">
        <f>'Base Porto Alegre'!AK14*12+'Base Porto Alegre'!AL14*4+'Base Porto Alegre'!AM14*2+'Base Porto Alegre'!AN14</f>
        <v>9183.3861859757162</v>
      </c>
      <c r="G12" s="8"/>
    </row>
    <row r="13" spans="2:249" s="7" customFormat="1" ht="15" customHeight="1">
      <c r="B13" s="108" t="str">
        <f>'Base Porto Alegre'!B15</f>
        <v>APS PORTO ALEGRE- CENTRO</v>
      </c>
      <c r="C13" s="129">
        <f>VLOOKUP(B13,Unidades!$D$5:$G$27,4,)</f>
        <v>0.04</v>
      </c>
      <c r="D13" s="130">
        <f>'Base Porto Alegre'!AD15*12+'Base Porto Alegre'!AE15*4+'Base Porto Alegre'!AF15*2+'Base Porto Alegre'!AG15</f>
        <v>8406.48931459089</v>
      </c>
      <c r="E13" s="130">
        <f>'Base Porto Alegre'!AK15*12+'Base Porto Alegre'!AL15*4+'Base Porto Alegre'!AM15*2+'Base Porto Alegre'!AN15</f>
        <v>11035.198523263462</v>
      </c>
      <c r="G13" s="132" t="s">
        <v>79</v>
      </c>
      <c r="H13" s="137">
        <f t="shared" ref="H13:M13" si="4">SUM(H5:H11)</f>
        <v>240788.29916666666</v>
      </c>
      <c r="I13" s="137">
        <f t="shared" si="4"/>
        <v>312510.83898336912</v>
      </c>
      <c r="J13" s="137">
        <f t="shared" si="4"/>
        <v>963153.19666666666</v>
      </c>
      <c r="K13" s="137">
        <f t="shared" si="4"/>
        <v>1250043.3559334765</v>
      </c>
      <c r="L13" s="138">
        <f t="shared" si="4"/>
        <v>0.99999999999999989</v>
      </c>
      <c r="M13" s="138">
        <f t="shared" si="4"/>
        <v>0.99999999999999989</v>
      </c>
      <c r="IO13"/>
    </row>
    <row r="14" spans="2:249" s="7" customFormat="1" ht="15" customHeight="1">
      <c r="B14" s="108" t="str">
        <f>'Base Porto Alegre'!B16</f>
        <v>APS PORTO ALEGRE-PARTENON</v>
      </c>
      <c r="C14" s="129">
        <f>VLOOKUP(B14,Unidades!$D$5:$G$27,4,)</f>
        <v>0.04</v>
      </c>
      <c r="D14" s="130">
        <f>'Base Porto Alegre'!AD16*12+'Base Porto Alegre'!AE16*4+'Base Porto Alegre'!AF16*2+'Base Porto Alegre'!AG16</f>
        <v>14432.36647299476</v>
      </c>
      <c r="E14" s="130">
        <f>'Base Porto Alegre'!AK16*12+'Base Porto Alegre'!AL16*4+'Base Porto Alegre'!AM16*2+'Base Porto Alegre'!AN16</f>
        <v>18945.36746910022</v>
      </c>
      <c r="IO14"/>
    </row>
    <row r="15" spans="2:249" s="7" customFormat="1" ht="15" customHeight="1">
      <c r="B15" s="108" t="str">
        <f>'Base Porto Alegre'!B17</f>
        <v>APS PORTO ALEGRE-SUL</v>
      </c>
      <c r="C15" s="129">
        <f>VLOOKUP(B15,Unidades!$D$5:$G$27,4,)</f>
        <v>0.04</v>
      </c>
      <c r="D15" s="130">
        <f>'Base Porto Alegre'!AD17*12+'Base Porto Alegre'!AE17*4+'Base Porto Alegre'!AF17*2+'Base Porto Alegre'!AG17</f>
        <v>7568.9062208786772</v>
      </c>
      <c r="E15" s="130">
        <f>'Base Porto Alegre'!AK17*12+'Base Porto Alegre'!AL17*4+'Base Porto Alegre'!AM17*2+'Base Porto Alegre'!AN17</f>
        <v>9935.7031961474386</v>
      </c>
      <c r="IO15"/>
    </row>
    <row r="16" spans="2:249" s="7" customFormat="1" ht="15" customHeight="1">
      <c r="B16" s="108" t="str">
        <f>'Base Porto Alegre'!B18</f>
        <v>CEDOCPREV PORTO ALEGRE</v>
      </c>
      <c r="C16" s="129">
        <f>VLOOKUP(B16,Unidades!$D$5:$G$27,4,)</f>
        <v>0.04</v>
      </c>
      <c r="D16" s="130">
        <f>'Base Porto Alegre'!AD18*12+'Base Porto Alegre'!AE18*4+'Base Porto Alegre'!AF18*2+'Base Porto Alegre'!AG18</f>
        <v>10827.579534058845</v>
      </c>
      <c r="E16" s="130">
        <f>'Base Porto Alegre'!AK18*12+'Base Porto Alegre'!AL18*4+'Base Porto Alegre'!AM18*2+'Base Porto Alegre'!AN18</f>
        <v>14213.363654359047</v>
      </c>
      <c r="IO16"/>
    </row>
    <row r="17" spans="2:249" s="7" customFormat="1" ht="15" customHeight="1">
      <c r="B17" s="108" t="str">
        <f>'Base Porto Alegre'!B19</f>
        <v>GEX PORTO ALEGRE</v>
      </c>
      <c r="C17" s="129">
        <f>VLOOKUP(B17,Unidades!$D$5:$G$27,4,)</f>
        <v>0.04</v>
      </c>
      <c r="D17" s="130">
        <f>'Base Porto Alegre'!AD19*12+'Base Porto Alegre'!AE19*4+'Base Porto Alegre'!AF19*2+'Base Porto Alegre'!AG19</f>
        <v>14255.595972994757</v>
      </c>
      <c r="E17" s="130">
        <f>'Base Porto Alegre'!AK19*12+'Base Porto Alegre'!AL19*4+'Base Porto Alegre'!AM19*2+'Base Porto Alegre'!AN19</f>
        <v>18713.320833750218</v>
      </c>
      <c r="IO17"/>
    </row>
    <row r="18" spans="2:249" s="7" customFormat="1" ht="15" customHeight="1">
      <c r="B18" s="108" t="str">
        <f>'Base Porto Alegre'!B20</f>
        <v>IPASE PORTO ALEGRE</v>
      </c>
      <c r="C18" s="129">
        <f>VLOOKUP(B18,Unidades!$D$5:$G$27,4,)</f>
        <v>0.04</v>
      </c>
      <c r="D18" s="130">
        <f>'Base Porto Alegre'!AD20*12+'Base Porto Alegre'!AE20*4+'Base Porto Alegre'!AF20*2+'Base Porto Alegre'!AG20</f>
        <v>8988.2969403466341</v>
      </c>
      <c r="E18" s="130">
        <f>'Base Porto Alegre'!AK20*12+'Base Porto Alegre'!AL20*4+'Base Porto Alegre'!AM20*2+'Base Porto Alegre'!AN20</f>
        <v>11798.937393593027</v>
      </c>
      <c r="IO18"/>
    </row>
    <row r="19" spans="2:249" s="78" customFormat="1" ht="15" customHeight="1">
      <c r="B19" s="108" t="str">
        <f>'Base Pelotas'!B7</f>
        <v>APS CAMAQUÃ</v>
      </c>
      <c r="C19" s="129">
        <f>VLOOKUP(B19,Unidades!$D$5:$G$27,4,)</f>
        <v>0.02</v>
      </c>
      <c r="D19" s="130">
        <f>'Base Pelotas'!AD7*12+'Base Pelotas'!AE7*4+'Base Pelotas'!AF7*2+'Base Pelotas'!AG7</f>
        <v>12195.41080421201</v>
      </c>
      <c r="E19" s="130">
        <f>'Base Pelotas'!AK7*12+'Base Pelotas'!AL7*4+'Base Pelotas'!AM7*2+'Base Pelotas'!AN7</f>
        <v>15652.809767206114</v>
      </c>
    </row>
    <row r="20" spans="2:249" s="7" customFormat="1" ht="15" customHeight="1">
      <c r="B20" s="108" t="str">
        <f>'Base Pelotas'!B8</f>
        <v>APS CAPÃO DO LEÃO</v>
      </c>
      <c r="C20" s="129">
        <f>VLOOKUP(B20,Unidades!$D$5:$G$27,4,)</f>
        <v>0.02</v>
      </c>
      <c r="D20" s="130">
        <f>'Base Pelotas'!AD8*12+'Base Pelotas'!AE8*4+'Base Pelotas'!AF8*2+'Base Pelotas'!AG8</f>
        <v>6456.8762417372018</v>
      </c>
      <c r="E20" s="130">
        <f>'Base Pelotas'!AK8*12+'Base Pelotas'!AL8*4+'Base Pelotas'!AM8*2+'Base Pelotas'!AN8</f>
        <v>8287.4006562696995</v>
      </c>
      <c r="IO20"/>
    </row>
    <row r="21" spans="2:249" ht="15" customHeight="1">
      <c r="B21" s="108" t="str">
        <f>'Base Pelotas'!B9</f>
        <v>APS JAGUARÃO</v>
      </c>
      <c r="C21" s="129">
        <f>VLOOKUP(B21,Unidades!$D$5:$G$27,4,)</f>
        <v>0.02</v>
      </c>
      <c r="D21" s="130">
        <f>'Base Pelotas'!AD9*12+'Base Pelotas'!AE9*4+'Base Pelotas'!AF9*2+'Base Pelotas'!AG9</f>
        <v>11006.110387545343</v>
      </c>
      <c r="E21" s="130">
        <f>'Base Pelotas'!AK9*12+'Base Pelotas'!AL9*4+'Base Pelotas'!AM9*2+'Base Pelotas'!AN9</f>
        <v>14126.34268241445</v>
      </c>
    </row>
    <row r="22" spans="2:249" ht="15" customHeight="1">
      <c r="B22" s="108" t="str">
        <f>'Base Pelotas'!B10</f>
        <v>APS RIO GRANDE</v>
      </c>
      <c r="C22" s="129">
        <f>VLOOKUP(B22,Unidades!$D$5:$G$27,4,)</f>
        <v>0.03</v>
      </c>
      <c r="D22" s="130">
        <f>'Base Pelotas'!AD10*12+'Base Pelotas'!AE10*4+'Base Pelotas'!AF10*2+'Base Pelotas'!AG10</f>
        <v>11419.610523679967</v>
      </c>
      <c r="E22" s="130">
        <f>'Base Pelotas'!AK10*12+'Base Pelotas'!AL10*4+'Base Pelotas'!AM10*2+'Base Pelotas'!AN10</f>
        <v>14821.512498684231</v>
      </c>
    </row>
    <row r="23" spans="2:249" ht="15" customHeight="1">
      <c r="B23" s="108" t="str">
        <f>'Base Pelotas'!B11</f>
        <v>APS SANTA VITÓRIA DO PALMAR</v>
      </c>
      <c r="C23" s="129">
        <f>VLOOKUP(B23,Unidades!$D$5:$G$27,4,)</f>
        <v>0.03</v>
      </c>
      <c r="D23" s="130">
        <f>'Base Pelotas'!AD11*12+'Base Pelotas'!AE11*4+'Base Pelotas'!AF11*2+'Base Pelotas'!AG11</f>
        <v>16184.859658403871</v>
      </c>
      <c r="E23" s="130">
        <f>'Base Pelotas'!AK11*12+'Base Pelotas'!AL11*4+'Base Pelotas'!AM11*2+'Base Pelotas'!AN11</f>
        <v>21006.329350642387</v>
      </c>
    </row>
    <row r="24" spans="2:249" ht="15" customHeight="1">
      <c r="B24" s="108" t="str">
        <f>'Base Pelotas'!B12</f>
        <v>APS SÃO JOSÉ DO NORTE</v>
      </c>
      <c r="C24" s="129">
        <f>VLOOKUP(B24,Unidades!$D$5:$G$27,4,)</f>
        <v>0.04</v>
      </c>
      <c r="D24" s="130">
        <f>'Base Pelotas'!AD12*12+'Base Pelotas'!AE12*4+'Base Pelotas'!AF12*2+'Base Pelotas'!AG12</f>
        <v>8446.263575070534</v>
      </c>
      <c r="E24" s="130">
        <f>'Base Pelotas'!AK12*12+'Base Pelotas'!AL12*4+'Base Pelotas'!AM12*2+'Base Pelotas'!AN12</f>
        <v>11087.410194995091</v>
      </c>
    </row>
    <row r="25" spans="2:249" ht="15" customHeight="1">
      <c r="B25" s="108" t="str">
        <f>'Base Pelotas'!B13</f>
        <v>APS SÃO LOURENÇO DO SUL</v>
      </c>
      <c r="C25" s="129">
        <f>VLOOKUP(B25,Unidades!$D$5:$G$27,4,)</f>
        <v>0.02</v>
      </c>
      <c r="D25" s="130">
        <f>'Base Pelotas'!AD13*12+'Base Pelotas'!AE13*4+'Base Pelotas'!AF13*2+'Base Pelotas'!AG13</f>
        <v>8713.083658403868</v>
      </c>
      <c r="E25" s="130">
        <f>'Base Pelotas'!AK13*12+'Base Pelotas'!AL13*4+'Base Pelotas'!AM13*2+'Base Pelotas'!AN13</f>
        <v>11183.242875561366</v>
      </c>
    </row>
    <row r="26" spans="2:249" ht="15" customHeight="1">
      <c r="B26" s="108" t="str">
        <f>'Base Pelotas'!B14</f>
        <v>APS TAPES</v>
      </c>
      <c r="C26" s="129">
        <f>VLOOKUP(B26,Unidades!$D$5:$G$27,4,)</f>
        <v>0.02</v>
      </c>
      <c r="D26" s="130">
        <f>'Base Pelotas'!AD14*12+'Base Pelotas'!AE14*4+'Base Pelotas'!AF14*2+'Base Pelotas'!AG14</f>
        <v>11230.689575070537</v>
      </c>
      <c r="E26" s="130">
        <f>'Base Pelotas'!AK14*12+'Base Pelotas'!AL14*4+'Base Pelotas'!AM14*2+'Base Pelotas'!AN14</f>
        <v>14414.590069603035</v>
      </c>
    </row>
    <row r="27" spans="2:249" ht="15" customHeight="1">
      <c r="B27" s="108" t="str">
        <f>'Base Pelotas'!B15</f>
        <v>GEX/APS PELOTAS</v>
      </c>
      <c r="C27" s="129">
        <f>VLOOKUP(B27,Unidades!$D$5:$G$27,4,)</f>
        <v>3.5000000000000003E-2</v>
      </c>
      <c r="D27" s="130">
        <f>'Base Pelotas'!AD15*12+'Base Pelotas'!AE15*4+'Base Pelotas'!AF15*2+'Base Pelotas'!AG15</f>
        <v>13447.474629282544</v>
      </c>
      <c r="E27" s="130">
        <f>'Base Pelotas'!AK15*12+'Base Pelotas'!AL15*4+'Base Pelotas'!AM15*2+'Base Pelotas'!AN15</f>
        <v>17552.988633602505</v>
      </c>
    </row>
    <row r="28" spans="2:249" ht="15">
      <c r="B28" s="347" t="s">
        <v>79</v>
      </c>
      <c r="C28" s="347"/>
      <c r="D28" s="136">
        <f>SUM(D5:D27)</f>
        <v>240788.29916666661</v>
      </c>
      <c r="E28" s="136">
        <f>SUM(E5:E27)</f>
        <v>312510.83898336912</v>
      </c>
    </row>
  </sheetData>
  <mergeCells count="2">
    <mergeCell ref="B2:M2"/>
    <mergeCell ref="B28:C28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39"/>
  <sheetViews>
    <sheetView showGridLines="0" zoomScale="110" zoomScaleNormal="110" workbookViewId="0">
      <selection activeCell="K8" sqref="K8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32" t="str">
        <f>"PLANILHA RESUMO "&amp;'Valor da Contratação'!B7&amp;""</f>
        <v>PLANILHA RESUMO POLO VII</v>
      </c>
      <c r="C2" s="233"/>
      <c r="D2" s="233"/>
      <c r="E2" s="233"/>
      <c r="F2" s="233"/>
      <c r="G2" s="233"/>
      <c r="H2" s="233"/>
      <c r="I2" s="234"/>
      <c r="J2" s="139"/>
    </row>
    <row r="3" spans="2:250" ht="15" customHeight="1">
      <c r="B3" s="5"/>
      <c r="H3" s="5"/>
      <c r="I3" s="9"/>
    </row>
    <row r="4" spans="2:250" ht="46.5" customHeight="1"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10" t="s">
        <v>14</v>
      </c>
      <c r="I4" s="10" t="s">
        <v>15</v>
      </c>
    </row>
    <row r="5" spans="2:250" ht="20.100000000000001" customHeight="1">
      <c r="B5" s="102" t="s">
        <v>189</v>
      </c>
      <c r="C5" s="12">
        <f>'Base Porto Alegre'!C21</f>
        <v>53098.020000000004</v>
      </c>
      <c r="D5" s="6">
        <f>'Base Porto Alegre'!AT10</f>
        <v>15364.851021199189</v>
      </c>
      <c r="E5" s="6">
        <f>D5*12</f>
        <v>184378.21225439027</v>
      </c>
      <c r="F5" s="6">
        <f>'Base Porto Alegre'!AT12</f>
        <v>46094.553063597567</v>
      </c>
      <c r="G5" s="6">
        <f>F5*12</f>
        <v>553134.63676317083</v>
      </c>
      <c r="H5" s="6">
        <f>D5+F5</f>
        <v>61459.404084796755</v>
      </c>
      <c r="I5" s="6">
        <f>H5*12</f>
        <v>737512.84901756106</v>
      </c>
    </row>
    <row r="6" spans="2:250" ht="20.100000000000001" customHeight="1">
      <c r="B6" s="102" t="s">
        <v>190</v>
      </c>
      <c r="C6" s="12">
        <f>'Base Pelotas'!C16</f>
        <v>10437.5</v>
      </c>
      <c r="D6" s="6">
        <f>'Base Pelotas'!AT10</f>
        <v>10677.71889408157</v>
      </c>
      <c r="E6" s="6">
        <f>D6*12</f>
        <v>128132.62672897885</v>
      </c>
      <c r="F6" s="6">
        <f>'Base Pelotas'!AT12</f>
        <v>32033.156682244713</v>
      </c>
      <c r="G6" s="6">
        <f>F6*12</f>
        <v>384397.88018693659</v>
      </c>
      <c r="H6" s="6">
        <f>D6+F6</f>
        <v>42710.875576326282</v>
      </c>
      <c r="I6" s="6">
        <f>H6*12</f>
        <v>512530.50691591541</v>
      </c>
    </row>
    <row r="7" spans="2:250" ht="20.100000000000001" customHeight="1">
      <c r="B7" s="13" t="str">
        <f>"TOTAL "&amp;'Valor da Contratação'!B7&amp;""</f>
        <v>TOTAL POLO VII</v>
      </c>
      <c r="C7" s="14">
        <f t="shared" ref="C7:I7" si="0">SUM(C5:C6)</f>
        <v>63535.520000000004</v>
      </c>
      <c r="D7" s="15">
        <f t="shared" si="0"/>
        <v>26042.569915280757</v>
      </c>
      <c r="E7" s="15">
        <f t="shared" si="0"/>
        <v>312510.83898336912</v>
      </c>
      <c r="F7" s="15">
        <f t="shared" si="0"/>
        <v>78127.70974584228</v>
      </c>
      <c r="G7" s="15">
        <f t="shared" si="0"/>
        <v>937532.51695010741</v>
      </c>
      <c r="H7" s="15">
        <f t="shared" si="0"/>
        <v>104170.27966112303</v>
      </c>
      <c r="I7" s="15">
        <f t="shared" si="0"/>
        <v>1250043.3559334765</v>
      </c>
    </row>
    <row r="8" spans="2:250" ht="24.95" customHeight="1">
      <c r="B8" s="5"/>
      <c r="C8" s="5"/>
      <c r="D8" s="5"/>
      <c r="E8" s="5"/>
      <c r="F8" s="5"/>
      <c r="G8" s="16"/>
      <c r="H8" s="5"/>
      <c r="I8" s="9"/>
    </row>
    <row r="9" spans="2:250" s="17" customFormat="1" ht="27.2" customHeight="1">
      <c r="B9" s="235" t="str">
        <f>"BASE "&amp;B5</f>
        <v>BASE PORTO ALEGRE</v>
      </c>
      <c r="C9" s="236" t="s">
        <v>16</v>
      </c>
      <c r="D9" s="236"/>
      <c r="E9" s="236"/>
      <c r="F9" s="236" t="s">
        <v>17</v>
      </c>
      <c r="G9" s="236"/>
      <c r="H9" s="236"/>
      <c r="I9" s="82" t="s">
        <v>18</v>
      </c>
      <c r="IP9" s="18"/>
    </row>
    <row r="10" spans="2:250" s="17" customFormat="1" ht="22.7" customHeight="1">
      <c r="B10" s="235"/>
      <c r="C10" s="83" t="s">
        <v>19</v>
      </c>
      <c r="D10" s="83" t="s">
        <v>20</v>
      </c>
      <c r="E10" s="83" t="s">
        <v>21</v>
      </c>
      <c r="F10" s="84" t="s">
        <v>19</v>
      </c>
      <c r="G10" s="84" t="s">
        <v>20</v>
      </c>
      <c r="H10" s="84" t="s">
        <v>21</v>
      </c>
      <c r="I10" s="84" t="s">
        <v>22</v>
      </c>
      <c r="IP10" s="18"/>
    </row>
    <row r="11" spans="2:250" ht="17.100000000000001" customHeight="1">
      <c r="B11" s="102" t="str">
        <f>'Base Porto Alegre'!B7</f>
        <v>APS CACHOEIRINHA</v>
      </c>
      <c r="C11" s="6">
        <f>'Base Porto Alegre'!AO7</f>
        <v>1166.8442447351372</v>
      </c>
      <c r="D11" s="6">
        <f t="shared" ref="D11:D24" si="1">C11*3</f>
        <v>3500.5327342054115</v>
      </c>
      <c r="E11" s="6">
        <f t="shared" ref="E11:E24" si="2">C11+D11</f>
        <v>4667.3769789405487</v>
      </c>
      <c r="F11" s="6">
        <f t="shared" ref="F11:F24" si="3">C11*12</f>
        <v>14002.130936821646</v>
      </c>
      <c r="G11" s="6">
        <f t="shared" ref="G11:G24" si="4">F11*3</f>
        <v>42006.392810464939</v>
      </c>
      <c r="H11" s="6">
        <f t="shared" ref="H11:H24" si="5">F11+G11</f>
        <v>56008.523747286585</v>
      </c>
      <c r="I11" s="20">
        <f t="shared" ref="I11:I24" si="6">F11/$E$7</f>
        <v>4.4805264938560407E-2</v>
      </c>
    </row>
    <row r="12" spans="2:250" ht="17.100000000000001" customHeight="1">
      <c r="B12" s="102" t="str">
        <f>'Base Porto Alegre'!B8</f>
        <v>APS ESTEIO</v>
      </c>
      <c r="C12" s="6">
        <f>'Base Porto Alegre'!AO8</f>
        <v>1155.9990745456553</v>
      </c>
      <c r="D12" s="6">
        <f t="shared" si="1"/>
        <v>3467.9972236369658</v>
      </c>
      <c r="E12" s="6">
        <f t="shared" si="2"/>
        <v>4623.9962981826211</v>
      </c>
      <c r="F12" s="6">
        <f t="shared" si="3"/>
        <v>13871.988894547863</v>
      </c>
      <c r="G12" s="6">
        <f t="shared" si="4"/>
        <v>41615.966683643594</v>
      </c>
      <c r="H12" s="6">
        <f t="shared" si="5"/>
        <v>55487.955578191453</v>
      </c>
      <c r="I12" s="20">
        <f t="shared" si="6"/>
        <v>4.4388824847403419E-2</v>
      </c>
    </row>
    <row r="13" spans="2:250" ht="17.100000000000001" customHeight="1">
      <c r="B13" s="102" t="str">
        <f>'Base Porto Alegre'!B9</f>
        <v>APS GRAVATAÍ</v>
      </c>
      <c r="C13" s="6">
        <f>'Base Porto Alegre'!AO9</f>
        <v>1160.3712664147015</v>
      </c>
      <c r="D13" s="6">
        <f t="shared" si="1"/>
        <v>3481.1137992441045</v>
      </c>
      <c r="E13" s="6">
        <f t="shared" si="2"/>
        <v>4641.485065658806</v>
      </c>
      <c r="F13" s="6">
        <f t="shared" si="3"/>
        <v>13924.455196976418</v>
      </c>
      <c r="G13" s="6">
        <f t="shared" si="4"/>
        <v>41773.365590929257</v>
      </c>
      <c r="H13" s="6">
        <f t="shared" si="5"/>
        <v>55697.820787905672</v>
      </c>
      <c r="I13" s="20">
        <f t="shared" si="6"/>
        <v>4.4556711192079441E-2</v>
      </c>
    </row>
    <row r="14" spans="2:250" ht="17.100000000000001" customHeight="1">
      <c r="B14" s="102" t="str">
        <f>'Base Porto Alegre'!B10</f>
        <v>APS GUAÍBA</v>
      </c>
      <c r="C14" s="6">
        <f>'Base Porto Alegre'!AO10</f>
        <v>1074.8157286195753</v>
      </c>
      <c r="D14" s="6">
        <f t="shared" si="1"/>
        <v>3224.4471858587258</v>
      </c>
      <c r="E14" s="6">
        <f t="shared" si="2"/>
        <v>4299.2629144783014</v>
      </c>
      <c r="F14" s="6">
        <f t="shared" si="3"/>
        <v>12897.788743434903</v>
      </c>
      <c r="G14" s="6">
        <f t="shared" si="4"/>
        <v>38693.366230304709</v>
      </c>
      <c r="H14" s="6">
        <f t="shared" si="5"/>
        <v>51591.154973739613</v>
      </c>
      <c r="I14" s="20">
        <f t="shared" si="6"/>
        <v>4.1271492487725471E-2</v>
      </c>
    </row>
    <row r="15" spans="2:250" ht="17.100000000000001" customHeight="1">
      <c r="B15" s="102" t="str">
        <f>'Base Porto Alegre'!B11</f>
        <v>CEDOCPREV CANOAS</v>
      </c>
      <c r="C15" s="6">
        <f>'Base Porto Alegre'!AO11</f>
        <v>696.24061699450397</v>
      </c>
      <c r="D15" s="6">
        <f t="shared" si="1"/>
        <v>2088.721850983512</v>
      </c>
      <c r="E15" s="6">
        <f t="shared" si="2"/>
        <v>2784.9624679780159</v>
      </c>
      <c r="F15" s="6">
        <f t="shared" si="3"/>
        <v>8354.8874039340481</v>
      </c>
      <c r="G15" s="6">
        <f t="shared" si="4"/>
        <v>25064.662211802144</v>
      </c>
      <c r="H15" s="6">
        <f t="shared" si="5"/>
        <v>33419.549615736192</v>
      </c>
      <c r="I15" s="20">
        <f t="shared" si="6"/>
        <v>2.6734712405858889E-2</v>
      </c>
    </row>
    <row r="16" spans="2:250" ht="17.100000000000001" customHeight="1">
      <c r="B16" s="102" t="str">
        <f>'Base Porto Alegre'!B12</f>
        <v>DEPÓSITO ESTEIO</v>
      </c>
      <c r="C16" s="6">
        <f>'Base Porto Alegre'!AO12</f>
        <v>704.27183328983608</v>
      </c>
      <c r="D16" s="6">
        <f t="shared" si="1"/>
        <v>2112.8154998695081</v>
      </c>
      <c r="E16" s="6">
        <f t="shared" si="2"/>
        <v>2817.0873331593443</v>
      </c>
      <c r="F16" s="6">
        <f t="shared" si="3"/>
        <v>8451.2619994780325</v>
      </c>
      <c r="G16" s="6">
        <f t="shared" si="4"/>
        <v>25353.785998434098</v>
      </c>
      <c r="H16" s="6">
        <f t="shared" si="5"/>
        <v>33805.04799791213</v>
      </c>
      <c r="I16" s="20">
        <f t="shared" si="6"/>
        <v>2.7043100415239624E-2</v>
      </c>
    </row>
    <row r="17" spans="2:250" ht="17.100000000000001" customHeight="1">
      <c r="B17" s="102" t="str">
        <f>'Base Porto Alegre'!B13</f>
        <v>GEX/APS CANOAS</v>
      </c>
      <c r="C17" s="6">
        <f>'Base Porto Alegre'!AO13</f>
        <v>1587.5351519173526</v>
      </c>
      <c r="D17" s="6">
        <f t="shared" si="1"/>
        <v>4762.6054557520574</v>
      </c>
      <c r="E17" s="6">
        <f t="shared" si="2"/>
        <v>6350.1406076694102</v>
      </c>
      <c r="F17" s="6">
        <f t="shared" si="3"/>
        <v>19050.42182300823</v>
      </c>
      <c r="G17" s="6">
        <f t="shared" si="4"/>
        <v>57151.265469024685</v>
      </c>
      <c r="H17" s="6">
        <f t="shared" si="5"/>
        <v>76201.687292032919</v>
      </c>
      <c r="I17" s="20">
        <f t="shared" si="6"/>
        <v>6.0959235477979809E-2</v>
      </c>
    </row>
    <row r="18" spans="2:250" ht="17.100000000000001" customHeight="1">
      <c r="B18" s="102" t="str">
        <f>'Base Porto Alegre'!B14</f>
        <v>APS ALVORADA</v>
      </c>
      <c r="C18" s="6">
        <f>'Base Porto Alegre'!AO14</f>
        <v>765.28218216464302</v>
      </c>
      <c r="D18" s="6">
        <f t="shared" si="1"/>
        <v>2295.8465464939291</v>
      </c>
      <c r="E18" s="6">
        <f t="shared" si="2"/>
        <v>3061.1287286585721</v>
      </c>
      <c r="F18" s="6">
        <f t="shared" si="3"/>
        <v>9183.3861859757162</v>
      </c>
      <c r="G18" s="6">
        <f t="shared" si="4"/>
        <v>27550.158557927149</v>
      </c>
      <c r="H18" s="6">
        <f t="shared" si="5"/>
        <v>36733.544743902865</v>
      </c>
      <c r="I18" s="20">
        <f t="shared" si="6"/>
        <v>2.9385816555516104E-2</v>
      </c>
    </row>
    <row r="19" spans="2:250" ht="17.100000000000001" customHeight="1">
      <c r="B19" s="102" t="str">
        <f>'Base Porto Alegre'!B15</f>
        <v>APS PORTO ALEGRE- CENTRO</v>
      </c>
      <c r="C19" s="6">
        <f>'Base Porto Alegre'!AO15</f>
        <v>919.59987693862183</v>
      </c>
      <c r="D19" s="6">
        <f t="shared" si="1"/>
        <v>2758.7996308158654</v>
      </c>
      <c r="E19" s="6">
        <f t="shared" si="2"/>
        <v>3678.3995077544873</v>
      </c>
      <c r="F19" s="6">
        <f t="shared" si="3"/>
        <v>11035.198523263462</v>
      </c>
      <c r="G19" s="6">
        <f t="shared" si="4"/>
        <v>33105.595569790385</v>
      </c>
      <c r="H19" s="6">
        <f t="shared" si="5"/>
        <v>44140.794093053846</v>
      </c>
      <c r="I19" s="20">
        <f t="shared" si="6"/>
        <v>3.5311410507111153E-2</v>
      </c>
    </row>
    <row r="20" spans="2:250" ht="17.100000000000001" customHeight="1">
      <c r="B20" s="102" t="str">
        <f>'Base Porto Alegre'!B16</f>
        <v>APS PORTO ALEGRE-PARTENON</v>
      </c>
      <c r="C20" s="6">
        <f>'Base Porto Alegre'!AO16</f>
        <v>1578.7806224250182</v>
      </c>
      <c r="D20" s="6">
        <f t="shared" si="1"/>
        <v>4736.3418672750549</v>
      </c>
      <c r="E20" s="6">
        <f t="shared" si="2"/>
        <v>6315.1224897000729</v>
      </c>
      <c r="F20" s="6">
        <f t="shared" si="3"/>
        <v>18945.36746910022</v>
      </c>
      <c r="G20" s="6">
        <f t="shared" si="4"/>
        <v>56836.102407300656</v>
      </c>
      <c r="H20" s="6">
        <f t="shared" si="5"/>
        <v>75781.469876400879</v>
      </c>
      <c r="I20" s="20">
        <f t="shared" si="6"/>
        <v>6.0623073205177486E-2</v>
      </c>
    </row>
    <row r="21" spans="2:250" ht="17.100000000000001" customHeight="1">
      <c r="B21" s="102" t="str">
        <f>'Base Porto Alegre'!B17</f>
        <v>APS PORTO ALEGRE-SUL</v>
      </c>
      <c r="C21" s="6">
        <f>'Base Porto Alegre'!AO17</f>
        <v>827.97526634561984</v>
      </c>
      <c r="D21" s="6">
        <f t="shared" si="1"/>
        <v>2483.9257990368596</v>
      </c>
      <c r="E21" s="6">
        <f t="shared" si="2"/>
        <v>3311.9010653824794</v>
      </c>
      <c r="F21" s="6">
        <f t="shared" si="3"/>
        <v>9935.7031961474386</v>
      </c>
      <c r="G21" s="6">
        <f t="shared" si="4"/>
        <v>29807.109588442316</v>
      </c>
      <c r="H21" s="6">
        <f t="shared" si="5"/>
        <v>39742.812784589754</v>
      </c>
      <c r="I21" s="20">
        <f t="shared" si="6"/>
        <v>3.179314749040172E-2</v>
      </c>
    </row>
    <row r="22" spans="2:250" ht="17.100000000000001" customHeight="1">
      <c r="B22" s="102" t="str">
        <f>'Base Porto Alegre'!B18</f>
        <v>CEDOCPREV PORTO ALEGRE</v>
      </c>
      <c r="C22" s="6">
        <f>'Base Porto Alegre'!AO18</f>
        <v>1184.4469711965874</v>
      </c>
      <c r="D22" s="6">
        <f t="shared" si="1"/>
        <v>3553.3409135897618</v>
      </c>
      <c r="E22" s="6">
        <f t="shared" si="2"/>
        <v>4737.7878847863494</v>
      </c>
      <c r="F22" s="6">
        <f t="shared" si="3"/>
        <v>14213.363654359047</v>
      </c>
      <c r="G22" s="6">
        <f t="shared" si="4"/>
        <v>42640.090963077142</v>
      </c>
      <c r="H22" s="6">
        <f t="shared" si="5"/>
        <v>56853.454617436189</v>
      </c>
      <c r="I22" s="20">
        <f t="shared" si="6"/>
        <v>4.5481186190522625E-2</v>
      </c>
    </row>
    <row r="23" spans="2:250" ht="17.100000000000001" customHeight="1">
      <c r="B23" s="102" t="str">
        <f>'Base Porto Alegre'!B19</f>
        <v>GEX PORTO ALEGRE</v>
      </c>
      <c r="C23" s="6">
        <f>'Base Porto Alegre'!AO19</f>
        <v>1559.4434028125181</v>
      </c>
      <c r="D23" s="6">
        <f t="shared" si="1"/>
        <v>4678.3302084375546</v>
      </c>
      <c r="E23" s="6">
        <f t="shared" si="2"/>
        <v>6237.7736112500725</v>
      </c>
      <c r="F23" s="6">
        <f t="shared" si="3"/>
        <v>18713.320833750218</v>
      </c>
      <c r="G23" s="6">
        <f t="shared" si="4"/>
        <v>56139.962501250659</v>
      </c>
      <c r="H23" s="6">
        <f t="shared" si="5"/>
        <v>74853.283335000873</v>
      </c>
      <c r="I23" s="20">
        <f t="shared" si="6"/>
        <v>5.9880549726296327E-2</v>
      </c>
    </row>
    <row r="24" spans="2:250" ht="17.100000000000001" customHeight="1">
      <c r="B24" s="102" t="str">
        <f>'Base Porto Alegre'!B20</f>
        <v>IPASE PORTO ALEGRE</v>
      </c>
      <c r="C24" s="6">
        <f>'Base Porto Alegre'!AO20</f>
        <v>983.24478279941889</v>
      </c>
      <c r="D24" s="6">
        <f t="shared" si="1"/>
        <v>2949.7343483982568</v>
      </c>
      <c r="E24" s="6">
        <f t="shared" si="2"/>
        <v>3932.9791311976755</v>
      </c>
      <c r="F24" s="6">
        <f t="shared" si="3"/>
        <v>11798.937393593027</v>
      </c>
      <c r="G24" s="6">
        <f t="shared" si="4"/>
        <v>35396.812180779081</v>
      </c>
      <c r="H24" s="6">
        <f t="shared" si="5"/>
        <v>47195.749574372108</v>
      </c>
      <c r="I24" s="20">
        <f t="shared" si="6"/>
        <v>3.7755290126819989E-2</v>
      </c>
    </row>
    <row r="25" spans="2:250" ht="22.7" customHeight="1">
      <c r="B25" s="21" t="str">
        <f>"Total Base "&amp;B5</f>
        <v>Total Base PORTO ALEGRE</v>
      </c>
      <c r="C25" s="21">
        <f t="shared" ref="C25:I25" si="7">SUM(C11:C24)</f>
        <v>15364.851021199189</v>
      </c>
      <c r="D25" s="21">
        <f t="shared" si="7"/>
        <v>46094.553063597559</v>
      </c>
      <c r="E25" s="21">
        <f t="shared" si="7"/>
        <v>61459.404084796755</v>
      </c>
      <c r="F25" s="21">
        <f t="shared" si="7"/>
        <v>184378.21225439024</v>
      </c>
      <c r="G25" s="21">
        <f t="shared" si="7"/>
        <v>553134.63676317083</v>
      </c>
      <c r="H25" s="21">
        <f t="shared" si="7"/>
        <v>737512.84901756095</v>
      </c>
      <c r="I25" s="22">
        <f t="shared" si="7"/>
        <v>0.5899898155666925</v>
      </c>
    </row>
    <row r="26" spans="2:250" ht="22.7" customHeight="1">
      <c r="B26" s="23"/>
      <c r="C26" s="23"/>
      <c r="D26" s="23"/>
      <c r="E26" s="23"/>
      <c r="F26" s="23"/>
      <c r="G26" s="23"/>
      <c r="H26" s="23"/>
      <c r="I26" s="24"/>
    </row>
    <row r="27" spans="2:250" s="17" customFormat="1" ht="28.15" customHeight="1">
      <c r="B27" s="235" t="str">
        <f>"BASE "&amp;B6</f>
        <v>BASE PELOTAS</v>
      </c>
      <c r="C27" s="236" t="s">
        <v>16</v>
      </c>
      <c r="D27" s="236"/>
      <c r="E27" s="236"/>
      <c r="F27" s="236" t="s">
        <v>17</v>
      </c>
      <c r="G27" s="236"/>
      <c r="H27" s="236"/>
      <c r="I27" s="82" t="s">
        <v>18</v>
      </c>
      <c r="IP27" s="18"/>
    </row>
    <row r="28" spans="2:250" s="17" customFormat="1" ht="22.7" customHeight="1">
      <c r="B28" s="235"/>
      <c r="C28" s="83" t="s">
        <v>19</v>
      </c>
      <c r="D28" s="83" t="s">
        <v>20</v>
      </c>
      <c r="E28" s="83" t="s">
        <v>21</v>
      </c>
      <c r="F28" s="84" t="s">
        <v>19</v>
      </c>
      <c r="G28" s="84" t="s">
        <v>20</v>
      </c>
      <c r="H28" s="84" t="s">
        <v>21</v>
      </c>
      <c r="I28" s="84" t="s">
        <v>22</v>
      </c>
      <c r="IP28" s="18"/>
    </row>
    <row r="29" spans="2:250" ht="17.100000000000001" customHeight="1">
      <c r="B29" s="102" t="str">
        <f>'Base Pelotas'!B7</f>
        <v>APS CAMAQUÃ</v>
      </c>
      <c r="C29" s="6">
        <f>'Base Pelotas'!AO7</f>
        <v>1304.4008139338428</v>
      </c>
      <c r="D29" s="6">
        <f t="shared" ref="D29:D37" si="8">C29*3</f>
        <v>3913.202441801528</v>
      </c>
      <c r="E29" s="6">
        <f t="shared" ref="E29:E37" si="9">C29+D29</f>
        <v>5217.603255735371</v>
      </c>
      <c r="F29" s="6">
        <f t="shared" ref="F29:F37" si="10">C29*12</f>
        <v>15652.809767206112</v>
      </c>
      <c r="G29" s="6">
        <f t="shared" ref="G29:G37" si="11">F29*3</f>
        <v>46958.429301618336</v>
      </c>
      <c r="H29" s="6">
        <f t="shared" ref="H29:H37" si="12">F29+G29</f>
        <v>62611.239068824449</v>
      </c>
      <c r="I29" s="20">
        <f t="shared" ref="I29:I37" si="13">F29/$E$7</f>
        <v>5.0087253991337906E-2</v>
      </c>
    </row>
    <row r="30" spans="2:250" ht="17.100000000000001" customHeight="1">
      <c r="B30" s="102" t="str">
        <f>'Base Pelotas'!B8</f>
        <v>APS CAPÃO DO LEÃO</v>
      </c>
      <c r="C30" s="6">
        <f>'Base Pelotas'!AO8</f>
        <v>690.61672135580829</v>
      </c>
      <c r="D30" s="6">
        <f t="shared" si="8"/>
        <v>2071.8501640674249</v>
      </c>
      <c r="E30" s="6">
        <f t="shared" si="9"/>
        <v>2762.4668854232332</v>
      </c>
      <c r="F30" s="6">
        <f t="shared" si="10"/>
        <v>8287.4006562696995</v>
      </c>
      <c r="G30" s="6">
        <f t="shared" si="11"/>
        <v>24862.201968809099</v>
      </c>
      <c r="H30" s="6">
        <f t="shared" si="12"/>
        <v>33149.602625078798</v>
      </c>
      <c r="I30" s="20">
        <f t="shared" si="13"/>
        <v>2.6518762303507592E-2</v>
      </c>
    </row>
    <row r="31" spans="2:250" ht="17.100000000000001" customHeight="1">
      <c r="B31" s="102" t="str">
        <f>'Base Pelotas'!B9</f>
        <v>APS JAGUARÃO</v>
      </c>
      <c r="C31" s="6">
        <f>'Base Pelotas'!AO9</f>
        <v>1177.1952235345375</v>
      </c>
      <c r="D31" s="6">
        <f t="shared" si="8"/>
        <v>3531.5856706036125</v>
      </c>
      <c r="E31" s="6">
        <f t="shared" si="9"/>
        <v>4708.78089413815</v>
      </c>
      <c r="F31" s="6">
        <f t="shared" si="10"/>
        <v>14126.34268241445</v>
      </c>
      <c r="G31" s="6">
        <f t="shared" si="11"/>
        <v>42379.028047243351</v>
      </c>
      <c r="H31" s="6">
        <f t="shared" si="12"/>
        <v>56505.3707296578</v>
      </c>
      <c r="I31" s="20">
        <f t="shared" si="13"/>
        <v>4.5202728738526127E-2</v>
      </c>
    </row>
    <row r="32" spans="2:250" ht="17.100000000000001" customHeight="1">
      <c r="B32" s="102" t="str">
        <f>'Base Pelotas'!B10</f>
        <v>APS RIO GRANDE</v>
      </c>
      <c r="C32" s="6">
        <f>'Base Pelotas'!AO10</f>
        <v>1235.1260415570193</v>
      </c>
      <c r="D32" s="6">
        <f t="shared" si="8"/>
        <v>3705.3781246710578</v>
      </c>
      <c r="E32" s="6">
        <f t="shared" si="9"/>
        <v>4940.5041662280773</v>
      </c>
      <c r="F32" s="6">
        <f t="shared" si="10"/>
        <v>14821.512498684231</v>
      </c>
      <c r="G32" s="6">
        <f t="shared" si="11"/>
        <v>44464.537496052697</v>
      </c>
      <c r="H32" s="6">
        <f t="shared" si="12"/>
        <v>59286.049994736924</v>
      </c>
      <c r="I32" s="20">
        <f t="shared" si="13"/>
        <v>4.7427194995540579E-2</v>
      </c>
    </row>
    <row r="33" spans="2:9" ht="17.100000000000001" customHeight="1">
      <c r="B33" s="102" t="str">
        <f>'Base Pelotas'!B11</f>
        <v>APS SANTA VITÓRIA DO PALMAR</v>
      </c>
      <c r="C33" s="6">
        <f>'Base Pelotas'!AO11</f>
        <v>1750.5274458868655</v>
      </c>
      <c r="D33" s="6">
        <f t="shared" si="8"/>
        <v>5251.5823376605967</v>
      </c>
      <c r="E33" s="6">
        <f t="shared" si="9"/>
        <v>7002.109783547462</v>
      </c>
      <c r="F33" s="6">
        <f t="shared" si="10"/>
        <v>21006.329350642387</v>
      </c>
      <c r="G33" s="6">
        <f t="shared" si="11"/>
        <v>63018.988051927161</v>
      </c>
      <c r="H33" s="6">
        <f t="shared" si="12"/>
        <v>84025.317402569548</v>
      </c>
      <c r="I33" s="20">
        <f t="shared" si="13"/>
        <v>6.721792248543508E-2</v>
      </c>
    </row>
    <row r="34" spans="2:9" ht="17.100000000000001" customHeight="1">
      <c r="B34" s="102" t="str">
        <f>'Base Pelotas'!B12</f>
        <v>APS SÃO JOSÉ DO NORTE</v>
      </c>
      <c r="C34" s="6">
        <f>'Base Pelotas'!AO12</f>
        <v>923.95084958292421</v>
      </c>
      <c r="D34" s="6">
        <f t="shared" si="8"/>
        <v>2771.8525487487727</v>
      </c>
      <c r="E34" s="6">
        <f t="shared" si="9"/>
        <v>3695.8033983316968</v>
      </c>
      <c r="F34" s="6">
        <f t="shared" si="10"/>
        <v>11087.410194995091</v>
      </c>
      <c r="G34" s="6">
        <f t="shared" si="11"/>
        <v>33262.230584985271</v>
      </c>
      <c r="H34" s="6">
        <f t="shared" si="12"/>
        <v>44349.640779980364</v>
      </c>
      <c r="I34" s="20">
        <f t="shared" si="13"/>
        <v>3.54784820618178E-2</v>
      </c>
    </row>
    <row r="35" spans="2:9" ht="17.100000000000001" customHeight="1">
      <c r="B35" s="102" t="str">
        <f>'Base Pelotas'!B13</f>
        <v>APS SÃO LOURENÇO DO SUL</v>
      </c>
      <c r="C35" s="6">
        <f>'Base Pelotas'!AO13</f>
        <v>931.93690629678042</v>
      </c>
      <c r="D35" s="6">
        <f t="shared" si="8"/>
        <v>2795.8107188903414</v>
      </c>
      <c r="E35" s="6">
        <f t="shared" si="9"/>
        <v>3727.7476251871217</v>
      </c>
      <c r="F35" s="6">
        <f t="shared" si="10"/>
        <v>11183.242875561366</v>
      </c>
      <c r="G35" s="6">
        <f t="shared" si="11"/>
        <v>33549.728626684097</v>
      </c>
      <c r="H35" s="6">
        <f t="shared" si="12"/>
        <v>44732.971502245462</v>
      </c>
      <c r="I35" s="20">
        <f t="shared" si="13"/>
        <v>3.5785136003415562E-2</v>
      </c>
    </row>
    <row r="36" spans="2:9" ht="17.100000000000001" customHeight="1">
      <c r="B36" s="102" t="str">
        <f>'Base Pelotas'!B14</f>
        <v>APS TAPES</v>
      </c>
      <c r="C36" s="6">
        <f>'Base Pelotas'!AO14</f>
        <v>1201.2158391335863</v>
      </c>
      <c r="D36" s="6">
        <f t="shared" si="8"/>
        <v>3603.6475174007592</v>
      </c>
      <c r="E36" s="6">
        <f t="shared" si="9"/>
        <v>4804.8633565343453</v>
      </c>
      <c r="F36" s="6">
        <f t="shared" si="10"/>
        <v>14414.590069603037</v>
      </c>
      <c r="G36" s="6">
        <f t="shared" si="11"/>
        <v>43243.77020880911</v>
      </c>
      <c r="H36" s="6">
        <f t="shared" si="12"/>
        <v>57658.360278412147</v>
      </c>
      <c r="I36" s="20">
        <f t="shared" si="13"/>
        <v>4.6125088385718799E-2</v>
      </c>
    </row>
    <row r="37" spans="2:9" ht="17.100000000000001" customHeight="1">
      <c r="B37" s="102" t="str">
        <f>'Base Pelotas'!B15</f>
        <v>GEX/APS PELOTAS</v>
      </c>
      <c r="C37" s="6">
        <f>'Base Pelotas'!AO15</f>
        <v>1462.7490528002088</v>
      </c>
      <c r="D37" s="6">
        <f t="shared" si="8"/>
        <v>4388.2471584006262</v>
      </c>
      <c r="E37" s="6">
        <f t="shared" si="9"/>
        <v>5850.9962112008352</v>
      </c>
      <c r="F37" s="6">
        <f t="shared" si="10"/>
        <v>17552.988633602505</v>
      </c>
      <c r="G37" s="6">
        <f t="shared" si="11"/>
        <v>52658.96590080751</v>
      </c>
      <c r="H37" s="6">
        <f t="shared" si="12"/>
        <v>70211.954534410019</v>
      </c>
      <c r="I37" s="20">
        <f t="shared" si="13"/>
        <v>5.6167615468008206E-2</v>
      </c>
    </row>
    <row r="38" spans="2:9" ht="22.7" customHeight="1">
      <c r="B38" s="21" t="str">
        <f>"Total Base "&amp;B6</f>
        <v>Total Base PELOTAS</v>
      </c>
      <c r="C38" s="21">
        <f t="shared" ref="C38:I38" si="14">SUM(C29:C37)</f>
        <v>10677.718894081574</v>
      </c>
      <c r="D38" s="21">
        <f t="shared" si="14"/>
        <v>32033.15668224472</v>
      </c>
      <c r="E38" s="21">
        <f t="shared" si="14"/>
        <v>42710.875576326296</v>
      </c>
      <c r="F38" s="21">
        <f t="shared" si="14"/>
        <v>128132.62672897888</v>
      </c>
      <c r="G38" s="21">
        <f t="shared" si="14"/>
        <v>384397.88018693664</v>
      </c>
      <c r="H38" s="21">
        <f t="shared" si="14"/>
        <v>512530.50691591552</v>
      </c>
      <c r="I38" s="22">
        <f t="shared" si="14"/>
        <v>0.41001018443330761</v>
      </c>
    </row>
    <row r="39" spans="2:9" ht="22.7" customHeight="1">
      <c r="B39" s="19"/>
      <c r="C39" s="23"/>
      <c r="D39" s="23"/>
      <c r="E39" s="23"/>
      <c r="F39" s="23"/>
      <c r="G39" s="23"/>
      <c r="H39" s="23"/>
      <c r="I39" s="24"/>
    </row>
  </sheetData>
  <mergeCells count="7">
    <mergeCell ref="B2:I2"/>
    <mergeCell ref="B9:B10"/>
    <mergeCell ref="C9:E9"/>
    <mergeCell ref="F9:H9"/>
    <mergeCell ref="B27:B28"/>
    <mergeCell ref="C27:E27"/>
    <mergeCell ref="F27:H27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37" t="str">
        <f>"CÁLCULO DO CUSTO DA EQUIPE TÉCNICA PARA O "&amp;'Valor da Contratação'!B7&amp;""</f>
        <v>CÁLCULO DO CUSTO DA EQUIPE TÉCNICA PARA O POLO VII</v>
      </c>
      <c r="C2" s="238"/>
      <c r="D2" s="238"/>
      <c r="E2" s="239"/>
    </row>
    <row r="3" spans="2:5" ht="15" customHeight="1">
      <c r="B3" s="1"/>
      <c r="C3" s="1"/>
      <c r="D3" s="1"/>
      <c r="E3" s="1"/>
    </row>
    <row r="4" spans="2:5" ht="45.75" customHeight="1">
      <c r="B4" s="240" t="s">
        <v>23</v>
      </c>
      <c r="C4" s="94" t="s">
        <v>24</v>
      </c>
      <c r="D4" s="94" t="s">
        <v>25</v>
      </c>
      <c r="E4" s="94" t="s">
        <v>26</v>
      </c>
    </row>
    <row r="5" spans="2:5" ht="20.100000000000001" customHeight="1">
      <c r="B5" s="240"/>
      <c r="C5" s="72">
        <v>101.99</v>
      </c>
      <c r="D5" s="72">
        <f>'Comp. Eng. Eletricista'!D11</f>
        <v>108.89875000000001</v>
      </c>
      <c r="E5" s="72">
        <v>27.29</v>
      </c>
    </row>
    <row r="6" spans="2:5" ht="20.100000000000001" customHeight="1">
      <c r="B6" s="73" t="s">
        <v>27</v>
      </c>
      <c r="C6" s="175">
        <v>80</v>
      </c>
      <c r="D6" s="175">
        <v>16</v>
      </c>
      <c r="E6" s="175">
        <v>80</v>
      </c>
    </row>
    <row r="7" spans="2:5" ht="20.100000000000001" customHeight="1">
      <c r="B7" s="73" t="s">
        <v>28</v>
      </c>
      <c r="C7" s="72">
        <f>C5*C6</f>
        <v>8159.2</v>
      </c>
      <c r="D7" s="72">
        <f>D5*D6</f>
        <v>1742.38</v>
      </c>
      <c r="E7" s="72">
        <f>E5*E6</f>
        <v>2183.1999999999998</v>
      </c>
    </row>
    <row r="8" spans="2:5" ht="20.100000000000001" customHeight="1">
      <c r="B8" s="73" t="s">
        <v>29</v>
      </c>
      <c r="C8" s="72">
        <f>C5*C6*12</f>
        <v>97910.399999999994</v>
      </c>
      <c r="D8" s="72">
        <f>D5*D6*12</f>
        <v>20908.560000000001</v>
      </c>
      <c r="E8" s="72">
        <f>E5*E6*12</f>
        <v>26198.399999999998</v>
      </c>
    </row>
    <row r="9" spans="2:5" ht="20.100000000000001" customHeight="1">
      <c r="B9" s="25" t="s">
        <v>241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41" t="s">
        <v>30</v>
      </c>
      <c r="C11" s="242"/>
      <c r="E11" s="26"/>
    </row>
    <row r="12" spans="2:5" ht="20.100000000000001" customHeight="1">
      <c r="B12" s="73" t="s">
        <v>31</v>
      </c>
      <c r="C12" s="72">
        <f>SUM(C7:E7)</f>
        <v>12084.779999999999</v>
      </c>
      <c r="E12" s="26"/>
    </row>
    <row r="13" spans="2:5" ht="20.100000000000001" customHeight="1">
      <c r="B13" s="73" t="s">
        <v>32</v>
      </c>
      <c r="C13" s="72">
        <f>SUM(C8:E8)</f>
        <v>145017.35999999999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26"/>
  <sheetViews>
    <sheetView showGridLines="0" zoomScale="110" zoomScaleNormal="110" workbookViewId="0">
      <selection activeCell="D25" sqref="D25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43" t="str">
        <f>"BASE "&amp;Resumo!B5&amp;" - PLANILHA DE FORMAÇÃO DE PREÇOS"</f>
        <v>BASE PORTO ALEGRE - PLANILHA DE FORMAÇÃO DE PREÇOS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5"/>
      <c r="P2" s="2"/>
      <c r="Q2" s="237" t="str">
        <f>"BASE "&amp;Resumo!B5&amp;" – PLANILHA DE DISTRIBUIÇÃO DE CUSTOS POR UNIDADE"</f>
        <v>BASE PORTO ALEGRE – PLANILHA DE DISTRIBUIÇÃO DE CUSTOS POR UNIDADE</v>
      </c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9"/>
      <c r="AH2" s="27"/>
      <c r="AI2" s="249" t="str">
        <f>"BASE "&amp;Resumo!B5&amp;" – PLANILHA RESUMO DE CUSTOS DA BASE"</f>
        <v>BASE PORTO ALEGRE – PLANILHA RESUMO DE CUSTOS DA BASE</v>
      </c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1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52" t="s">
        <v>33</v>
      </c>
      <c r="C4" s="252" t="s">
        <v>34</v>
      </c>
      <c r="D4" s="252"/>
      <c r="E4" s="252"/>
      <c r="F4" s="252"/>
      <c r="G4" s="252"/>
      <c r="H4" s="252" t="s">
        <v>35</v>
      </c>
      <c r="I4" s="252"/>
      <c r="J4" s="252"/>
      <c r="K4" s="252"/>
      <c r="L4" s="252"/>
      <c r="M4" s="252"/>
      <c r="N4" s="252"/>
      <c r="O4" s="252" t="s">
        <v>21</v>
      </c>
      <c r="P4" s="2"/>
      <c r="Q4" s="252" t="s">
        <v>36</v>
      </c>
      <c r="R4" s="253" t="s">
        <v>37</v>
      </c>
      <c r="S4" s="253"/>
      <c r="T4" s="253"/>
      <c r="U4" s="253"/>
      <c r="V4" s="253" t="s">
        <v>38</v>
      </c>
      <c r="W4" s="253"/>
      <c r="X4" s="253"/>
      <c r="Y4" s="253"/>
      <c r="Z4" s="253" t="s">
        <v>39</v>
      </c>
      <c r="AA4" s="253"/>
      <c r="AB4" s="253"/>
      <c r="AC4" s="253"/>
      <c r="AD4" s="253" t="s">
        <v>40</v>
      </c>
      <c r="AE4" s="253"/>
      <c r="AF4" s="253"/>
      <c r="AG4" s="253"/>
      <c r="AI4" s="252" t="s">
        <v>36</v>
      </c>
      <c r="AJ4" s="254" t="s">
        <v>41</v>
      </c>
      <c r="AK4" s="254"/>
      <c r="AL4" s="254"/>
      <c r="AM4" s="254"/>
      <c r="AN4" s="254"/>
      <c r="AO4" s="254" t="s">
        <v>42</v>
      </c>
      <c r="AP4" s="254"/>
      <c r="AQ4" s="254"/>
      <c r="AR4" s="29"/>
      <c r="AS4" s="254" t="str">
        <f>"Resumo de Custos da Base "&amp;Resumo!B5</f>
        <v>Resumo de Custos da Base PORTO ALEGRE</v>
      </c>
      <c r="AT4" s="254"/>
      <c r="AU4" s="254"/>
      <c r="AV4" s="254"/>
      <c r="AW4" s="254"/>
    </row>
    <row r="5" spans="2:49" ht="39.950000000000003" customHeight="1">
      <c r="B5" s="252"/>
      <c r="C5" s="89" t="s">
        <v>21</v>
      </c>
      <c r="D5" s="89" t="s">
        <v>43</v>
      </c>
      <c r="E5" s="89" t="s">
        <v>44</v>
      </c>
      <c r="F5" s="89" t="s">
        <v>45</v>
      </c>
      <c r="G5" s="252" t="s">
        <v>46</v>
      </c>
      <c r="H5" s="89" t="s">
        <v>47</v>
      </c>
      <c r="I5" s="89" t="s">
        <v>48</v>
      </c>
      <c r="J5" s="89" t="s">
        <v>49</v>
      </c>
      <c r="K5" s="89" t="s">
        <v>50</v>
      </c>
      <c r="L5" s="89" t="s">
        <v>51</v>
      </c>
      <c r="M5" s="89" t="s">
        <v>52</v>
      </c>
      <c r="N5" s="252" t="s">
        <v>53</v>
      </c>
      <c r="O5" s="252"/>
      <c r="P5" s="2"/>
      <c r="Q5" s="252"/>
      <c r="R5" s="89" t="s">
        <v>54</v>
      </c>
      <c r="S5" s="89" t="s">
        <v>55</v>
      </c>
      <c r="T5" s="89" t="s">
        <v>56</v>
      </c>
      <c r="U5" s="89" t="s">
        <v>57</v>
      </c>
      <c r="V5" s="252" t="s">
        <v>58</v>
      </c>
      <c r="W5" s="252" t="s">
        <v>59</v>
      </c>
      <c r="X5" s="252" t="s">
        <v>60</v>
      </c>
      <c r="Y5" s="252" t="s">
        <v>61</v>
      </c>
      <c r="Z5" s="246" t="s">
        <v>62</v>
      </c>
      <c r="AA5" s="247"/>
      <c r="AB5" s="248"/>
      <c r="AC5" s="89">
        <f>N21+'Base Pelotas'!N16</f>
        <v>992.40000000000009</v>
      </c>
      <c r="AD5" s="253" t="s">
        <v>54</v>
      </c>
      <c r="AE5" s="253" t="s">
        <v>55</v>
      </c>
      <c r="AF5" s="253" t="s">
        <v>56</v>
      </c>
      <c r="AG5" s="253" t="s">
        <v>57</v>
      </c>
      <c r="AI5" s="252"/>
      <c r="AJ5" s="253" t="s">
        <v>63</v>
      </c>
      <c r="AK5" s="253" t="s">
        <v>54</v>
      </c>
      <c r="AL5" s="253" t="s">
        <v>55</v>
      </c>
      <c r="AM5" s="253" t="s">
        <v>56</v>
      </c>
      <c r="AN5" s="253" t="s">
        <v>57</v>
      </c>
      <c r="AO5" s="253" t="s">
        <v>64</v>
      </c>
      <c r="AP5" s="253" t="s">
        <v>65</v>
      </c>
      <c r="AQ5" s="253" t="s">
        <v>66</v>
      </c>
      <c r="AR5" s="27"/>
      <c r="AS5" s="253" t="s">
        <v>67</v>
      </c>
      <c r="AT5" s="95" t="s">
        <v>54</v>
      </c>
      <c r="AU5" s="95" t="s">
        <v>55</v>
      </c>
      <c r="AV5" s="95" t="s">
        <v>56</v>
      </c>
      <c r="AW5" s="95" t="s">
        <v>57</v>
      </c>
    </row>
    <row r="6" spans="2:49" ht="19.899999999999999" customHeight="1">
      <c r="B6" s="252"/>
      <c r="C6" s="90" t="s">
        <v>68</v>
      </c>
      <c r="D6" s="90">
        <v>1</v>
      </c>
      <c r="E6" s="90">
        <v>0.35</v>
      </c>
      <c r="F6" s="90">
        <v>0.1</v>
      </c>
      <c r="G6" s="252"/>
      <c r="H6" s="90">
        <v>1</v>
      </c>
      <c r="I6" s="90">
        <v>1.2</v>
      </c>
      <c r="J6" s="90">
        <v>2</v>
      </c>
      <c r="K6" s="90">
        <v>4</v>
      </c>
      <c r="L6" s="90">
        <v>1.1000000000000001</v>
      </c>
      <c r="M6" s="90">
        <v>1.1000000000000001</v>
      </c>
      <c r="N6" s="252"/>
      <c r="O6" s="252"/>
      <c r="P6" s="30"/>
      <c r="Q6" s="252"/>
      <c r="R6" s="90" t="s">
        <v>69</v>
      </c>
      <c r="S6" s="90" t="s">
        <v>70</v>
      </c>
      <c r="T6" s="90" t="s">
        <v>71</v>
      </c>
      <c r="U6" s="90" t="s">
        <v>72</v>
      </c>
      <c r="V6" s="252"/>
      <c r="W6" s="252"/>
      <c r="X6" s="252"/>
      <c r="Y6" s="252"/>
      <c r="Z6" s="84" t="s">
        <v>54</v>
      </c>
      <c r="AA6" s="84" t="s">
        <v>55</v>
      </c>
      <c r="AB6" s="84" t="s">
        <v>56</v>
      </c>
      <c r="AC6" s="84" t="s">
        <v>57</v>
      </c>
      <c r="AD6" s="253"/>
      <c r="AE6" s="253"/>
      <c r="AF6" s="253"/>
      <c r="AG6" s="253"/>
      <c r="AI6" s="252"/>
      <c r="AJ6" s="253"/>
      <c r="AK6" s="253"/>
      <c r="AL6" s="253"/>
      <c r="AM6" s="253"/>
      <c r="AN6" s="253"/>
      <c r="AO6" s="253"/>
      <c r="AP6" s="253"/>
      <c r="AQ6" s="253"/>
      <c r="AR6" s="31"/>
      <c r="AS6" s="253"/>
      <c r="AT6" s="84" t="s">
        <v>69</v>
      </c>
      <c r="AU6" s="84" t="s">
        <v>70</v>
      </c>
      <c r="AV6" s="84" t="s">
        <v>71</v>
      </c>
      <c r="AW6" s="84" t="s">
        <v>72</v>
      </c>
    </row>
    <row r="7" spans="2:49" s="5" customFormat="1" ht="15" customHeight="1">
      <c r="B7" s="58" t="s">
        <v>192</v>
      </c>
      <c r="C7" s="59">
        <f>VLOOKUP($B7,Unidades!$D$5:$N$27,6,FALSE())</f>
        <v>1325.34</v>
      </c>
      <c r="D7" s="59">
        <f>VLOOKUP($B7,Unidades!$D$5:$N$27,7,FALSE())</f>
        <v>571.98</v>
      </c>
      <c r="E7" s="59">
        <f>VLOOKUP($B7,Unidades!$D$5:$N$27,8,FALSE())</f>
        <v>566.07000000000005</v>
      </c>
      <c r="F7" s="59">
        <f>VLOOKUP($B7,Unidades!$D$5:$N$27,9,FALSE())</f>
        <v>187.29</v>
      </c>
      <c r="G7" s="59">
        <f t="shared" ref="G7:G20" si="0">D7+E7*$E$6+F7*$F$6</f>
        <v>788.83350000000007</v>
      </c>
      <c r="H7" s="60">
        <f t="shared" ref="H7:H20" si="1">IF(G7&lt;750,1.5,IF(G7&lt;2000,2,3))</f>
        <v>2</v>
      </c>
      <c r="I7" s="60">
        <f t="shared" ref="I7:I20" si="2">$I$6*H7</f>
        <v>2.4</v>
      </c>
      <c r="J7" s="60" t="str">
        <f>VLOOKUP($B7,Unidades!$D$5:$N$27,10,FALSE())</f>
        <v>SIM</v>
      </c>
      <c r="K7" s="60" t="str">
        <f>VLOOKUP($B7,Unidades!$D$5:$N$27,11,FALSE())</f>
        <v>SIM</v>
      </c>
      <c r="L7" s="60">
        <f t="shared" ref="L7:L20" si="3">$L$6*H7+(IF(J7="SIM",$J$6,0))</f>
        <v>4.2</v>
      </c>
      <c r="M7" s="60">
        <f t="shared" ref="M7:M16" si="4">$M$6*H7+(IF(J7="SIM",$J$6,0))+(IF(K7="SIM",$K$6,0))</f>
        <v>8.1999999999999993</v>
      </c>
      <c r="N7" s="60">
        <f t="shared" ref="N7:N16" si="5">H7*12+I7*4+L7*2+M7</f>
        <v>50.2</v>
      </c>
      <c r="O7" s="61">
        <f t="shared" ref="O7:O20" si="6">IF(K7="não", N7*(C$24+D$24),N7*(C$24+D$24)+(M7*+E$24))</f>
        <v>2514.5500000000002</v>
      </c>
      <c r="P7" s="32"/>
      <c r="Q7" s="63" t="str">
        <f t="shared" ref="Q7:Q20" si="7">B7</f>
        <v>APS CACHOEIRINHA</v>
      </c>
      <c r="R7" s="6">
        <f t="shared" ref="R7:R20" si="8">H7*($C$24+$D$24)</f>
        <v>90.240000000000009</v>
      </c>
      <c r="S7" s="6">
        <f t="shared" ref="S7:S20" si="9">I7*($C$24+$D$24)</f>
        <v>108.28800000000001</v>
      </c>
      <c r="T7" s="6">
        <f t="shared" ref="T7:T20" si="10">L7*($C$24+$D$24)</f>
        <v>189.50400000000002</v>
      </c>
      <c r="U7" s="6">
        <f t="shared" ref="U7:U20" si="11">IF(K7="não",M7*($C$24+$D$24),M7*(C$24+D$24+E$24))</f>
        <v>619.51</v>
      </c>
      <c r="V7" s="6">
        <f>VLOOKUP(Q7,'Desl. Base Porto Alegre'!$C$5:$S$18,13,FALSE())*($C$24+$D$24+$E$24*(VLOOKUP(Q7,'Desl. Base Porto Alegre'!$C$5:$S$18,17,FALSE())/12))</f>
        <v>23.82791666666667</v>
      </c>
      <c r="W7" s="6">
        <f>VLOOKUP(Q7,'Desl. Base Porto Alegre'!$C$5:$S$18,15,FALSE())*(2+(VLOOKUP(Q7,'Desl. Base Porto Alegre'!$C$5:$S$18,17,FALSE())/12))</f>
        <v>0</v>
      </c>
      <c r="X7" s="6">
        <f>VLOOKUP(Q7,'Desl. Base Porto Alegre'!$C$5:$Q$18,14,FALSE())</f>
        <v>0</v>
      </c>
      <c r="Y7" s="6">
        <f>VLOOKUP(Q7,'Desl. Base Porto Alegre'!$C$5:$Q$18,13,FALSE())*'Desl. Base Porto Alegre'!$E$23+'Desl. Base Porto Alegre'!$E$24*N7/12</f>
        <v>54.349166666666669</v>
      </c>
      <c r="Z7" s="6">
        <f>(H7/$AC$5)*'Equipe Técnica'!$C$13</f>
        <v>292.25586457073757</v>
      </c>
      <c r="AA7" s="6">
        <f>(I7/$AC$5)*'Equipe Técnica'!$C$13</f>
        <v>350.70703748488506</v>
      </c>
      <c r="AB7" s="6">
        <f>(L7/$AC$5)*'Equipe Técnica'!$C$13</f>
        <v>613.73731559854889</v>
      </c>
      <c r="AC7" s="6">
        <f>(M7/$AC$5)*'Equipe Técnica'!$C$13</f>
        <v>1198.2490447400239</v>
      </c>
      <c r="AD7" s="6">
        <f t="shared" ref="AD7:AD16" si="12">R7+(($V7+$W7+$X7+$Y7)*12/19)+$Z7</f>
        <v>431.87086457073758</v>
      </c>
      <c r="AE7" s="6">
        <f t="shared" ref="AE7:AE16" si="13">S7+(($V7+$W7+$X7+$Y7)*12/19)+$AA7</f>
        <v>508.37003748488507</v>
      </c>
      <c r="AF7" s="6">
        <f t="shared" ref="AF7:AF16" si="14">T7+(($V7+$W7+$X7+$Y7)*12/19)+$AB7</f>
        <v>852.61631559854891</v>
      </c>
      <c r="AG7" s="6">
        <f t="shared" ref="AG7:AG16" si="15">U7+(($V7+$W7+$X7+$Y7)*12/19)+$AC7</f>
        <v>1867.1340447400239</v>
      </c>
      <c r="AI7" s="63" t="str">
        <f t="shared" ref="AI7:AI20" si="16">B7</f>
        <v>APS CACHOEIRINHA</v>
      </c>
      <c r="AJ7" s="74">
        <f>VLOOKUP(AI7,Unidades!D$5:H$27,5,)</f>
        <v>0.2979</v>
      </c>
      <c r="AK7" s="72">
        <f t="shared" ref="AK7:AK20" si="17">AD7*(1+$AJ7)</f>
        <v>560.52519512636036</v>
      </c>
      <c r="AL7" s="72">
        <f t="shared" ref="AL7:AL20" si="18">AE7*(1+$AJ7)</f>
        <v>659.81347165163231</v>
      </c>
      <c r="AM7" s="72">
        <f t="shared" ref="AM7:AM20" si="19">AF7*(1+$AJ7)</f>
        <v>1106.6107160153567</v>
      </c>
      <c r="AN7" s="72">
        <f t="shared" ref="AN7:AN20" si="20">AG7*(1+$AJ7)</f>
        <v>2423.3532766680773</v>
      </c>
      <c r="AO7" s="72">
        <f t="shared" ref="AO7:AO20" si="21">((AK7*12)+(AL7*4)+(AM7*2)+AN7)/12</f>
        <v>1166.8442447351372</v>
      </c>
      <c r="AP7" s="72">
        <f t="shared" ref="AP7:AP20" si="22">AO7*3</f>
        <v>3500.5327342054115</v>
      </c>
      <c r="AQ7" s="72">
        <f t="shared" ref="AQ7:AQ16" si="23">AO7+AP7</f>
        <v>4667.3769789405487</v>
      </c>
      <c r="AR7" s="76"/>
      <c r="AS7" s="77" t="s">
        <v>73</v>
      </c>
      <c r="AT7" s="72">
        <f>AK21</f>
        <v>7906.881388252973</v>
      </c>
      <c r="AU7" s="72">
        <f>AL21</f>
        <v>9325.5183878800563</v>
      </c>
      <c r="AV7" s="72">
        <f>AM21</f>
        <v>12602.112793585258</v>
      </c>
      <c r="AW7" s="72">
        <f>AN21</f>
        <v>26989.336456663852</v>
      </c>
    </row>
    <row r="8" spans="2:49" s="5" customFormat="1" ht="15" customHeight="1">
      <c r="B8" s="58" t="s">
        <v>194</v>
      </c>
      <c r="C8" s="59">
        <f>VLOOKUP($B8,Unidades!$D$5:$N$27,6,FALSE())</f>
        <v>1237.9100000000001</v>
      </c>
      <c r="D8" s="59">
        <f>VLOOKUP($B8,Unidades!$D$5:$N$27,7,FALSE())</f>
        <v>1047.75</v>
      </c>
      <c r="E8" s="59">
        <f>VLOOKUP($B8,Unidades!$D$5:$N$27,8,FALSE())</f>
        <v>190.16</v>
      </c>
      <c r="F8" s="59">
        <f>VLOOKUP($B8,Unidades!$D$5:$N$27,9,FALSE())</f>
        <v>0</v>
      </c>
      <c r="G8" s="59">
        <f t="shared" si="0"/>
        <v>1114.306</v>
      </c>
      <c r="H8" s="60">
        <f t="shared" si="1"/>
        <v>2</v>
      </c>
      <c r="I8" s="60">
        <f t="shared" si="2"/>
        <v>2.4</v>
      </c>
      <c r="J8" s="60" t="str">
        <f>VLOOKUP($B8,Unidades!$D$5:$N$27,10,FALSE())</f>
        <v>SIM</v>
      </c>
      <c r="K8" s="60" t="str">
        <f>VLOOKUP($B8,Unidades!$D$5:$N$27,11,FALSE())</f>
        <v>SIM</v>
      </c>
      <c r="L8" s="60">
        <f t="shared" si="3"/>
        <v>4.2</v>
      </c>
      <c r="M8" s="60">
        <f t="shared" si="4"/>
        <v>8.1999999999999993</v>
      </c>
      <c r="N8" s="60">
        <f t="shared" si="5"/>
        <v>50.2</v>
      </c>
      <c r="O8" s="61">
        <f t="shared" si="6"/>
        <v>2514.5500000000002</v>
      </c>
      <c r="P8" s="32"/>
      <c r="Q8" s="63" t="str">
        <f t="shared" si="7"/>
        <v>APS ESTEIO</v>
      </c>
      <c r="R8" s="6">
        <f t="shared" si="8"/>
        <v>90.240000000000009</v>
      </c>
      <c r="S8" s="6">
        <f t="shared" si="9"/>
        <v>108.28800000000001</v>
      </c>
      <c r="T8" s="6">
        <f t="shared" si="10"/>
        <v>189.50400000000002</v>
      </c>
      <c r="U8" s="6">
        <f t="shared" si="11"/>
        <v>619.51</v>
      </c>
      <c r="V8" s="6">
        <f>VLOOKUP(Q8,'Desl. Base Porto Alegre'!$C$5:$S$18,13,FALSE())*($C$24+$D$24+$E$24*(VLOOKUP(Q8,'Desl. Base Porto Alegre'!$C$5:$S$18,17,FALSE())/12))</f>
        <v>24.622180555555563</v>
      </c>
      <c r="W8" s="6">
        <f>VLOOKUP(Q8,'Desl. Base Porto Alegre'!$C$5:$S$18,15,FALSE())*(2+(VLOOKUP(Q8,'Desl. Base Porto Alegre'!$C$5:$S$18,17,FALSE())/12))</f>
        <v>0</v>
      </c>
      <c r="X8" s="6">
        <f>VLOOKUP(Q8,'Desl. Base Porto Alegre'!$C$5:$Q$18,14,FALSE())</f>
        <v>0</v>
      </c>
      <c r="Y8" s="6">
        <f>VLOOKUP(Q8,'Desl. Base Porto Alegre'!$C$5:$Q$18,13,FALSE())*'Desl. Base Porto Alegre'!$E$23+'Desl. Base Porto Alegre'!$E$24*N8/12</f>
        <v>55.19166666666667</v>
      </c>
      <c r="Z8" s="6">
        <f>(H8/$AC$5)*'Equipe Técnica'!$C$13</f>
        <v>292.25586457073757</v>
      </c>
      <c r="AA8" s="6">
        <f>(I8/$AC$5)*'Equipe Técnica'!$C$13</f>
        <v>350.70703748488506</v>
      </c>
      <c r="AB8" s="6">
        <f>(L8/$AC$5)*'Equipe Técnica'!$C$13</f>
        <v>613.73731559854889</v>
      </c>
      <c r="AC8" s="6">
        <f>(M8/$AC$5)*'Equipe Técnica'!$C$13</f>
        <v>1198.2490447400239</v>
      </c>
      <c r="AD8" s="6">
        <f t="shared" si="12"/>
        <v>432.90461018477265</v>
      </c>
      <c r="AE8" s="6">
        <f t="shared" si="13"/>
        <v>509.40378309892014</v>
      </c>
      <c r="AF8" s="6">
        <f t="shared" si="14"/>
        <v>853.65006121258398</v>
      </c>
      <c r="AG8" s="6">
        <f t="shared" si="15"/>
        <v>1868.167790354059</v>
      </c>
      <c r="AI8" s="63" t="str">
        <f t="shared" si="16"/>
        <v>APS ESTEIO</v>
      </c>
      <c r="AJ8" s="74">
        <f>VLOOKUP(AI8,Unidades!D$5:H$27,5,)</f>
        <v>0.28349999999999997</v>
      </c>
      <c r="AK8" s="72">
        <f t="shared" si="17"/>
        <v>555.63306717215573</v>
      </c>
      <c r="AL8" s="72">
        <f t="shared" si="18"/>
        <v>653.819755607464</v>
      </c>
      <c r="AM8" s="72">
        <f t="shared" si="19"/>
        <v>1095.6598535663516</v>
      </c>
      <c r="AN8" s="72">
        <f t="shared" si="20"/>
        <v>2397.7933589194349</v>
      </c>
      <c r="AO8" s="72">
        <f t="shared" si="21"/>
        <v>1155.9990745456553</v>
      </c>
      <c r="AP8" s="72">
        <f t="shared" si="22"/>
        <v>3467.9972236369658</v>
      </c>
      <c r="AQ8" s="72">
        <f t="shared" si="23"/>
        <v>4623.9962981826211</v>
      </c>
      <c r="AR8" s="76"/>
      <c r="AS8" s="77" t="s">
        <v>74</v>
      </c>
      <c r="AT8" s="72">
        <f>AT7*12</f>
        <v>94882.57665903568</v>
      </c>
      <c r="AU8" s="72">
        <f>AU7*4</f>
        <v>37302.073551520225</v>
      </c>
      <c r="AV8" s="72">
        <f>AV7*2</f>
        <v>25204.225587170517</v>
      </c>
      <c r="AW8" s="72">
        <f>AW7</f>
        <v>26989.336456663852</v>
      </c>
    </row>
    <row r="9" spans="2:49" s="5" customFormat="1" ht="15" customHeight="1">
      <c r="B9" s="58" t="s">
        <v>196</v>
      </c>
      <c r="C9" s="59">
        <f>VLOOKUP($B9,Unidades!$D$5:$N$27,6,FALSE())</f>
        <v>1320.78</v>
      </c>
      <c r="D9" s="59">
        <f>VLOOKUP($B9,Unidades!$D$5:$N$27,7,FALSE())</f>
        <v>925.8</v>
      </c>
      <c r="E9" s="59">
        <f>VLOOKUP($B9,Unidades!$D$5:$N$27,8,FALSE())</f>
        <v>394.98</v>
      </c>
      <c r="F9" s="59">
        <f>VLOOKUP($B9,Unidades!$D$5:$N$27,9,FALSE())</f>
        <v>0</v>
      </c>
      <c r="G9" s="59">
        <f t="shared" si="0"/>
        <v>1064.0429999999999</v>
      </c>
      <c r="H9" s="60">
        <f t="shared" si="1"/>
        <v>2</v>
      </c>
      <c r="I9" s="60">
        <f t="shared" si="2"/>
        <v>2.4</v>
      </c>
      <c r="J9" s="60" t="str">
        <f>VLOOKUP($B9,Unidades!$D$5:$N$27,10,FALSE())</f>
        <v>SIM</v>
      </c>
      <c r="K9" s="60" t="str">
        <f>VLOOKUP($B9,Unidades!$D$5:$N$27,11,FALSE())</f>
        <v>SIM</v>
      </c>
      <c r="L9" s="60">
        <f t="shared" si="3"/>
        <v>4.2</v>
      </c>
      <c r="M9" s="60">
        <f t="shared" si="4"/>
        <v>8.1999999999999993</v>
      </c>
      <c r="N9" s="60">
        <f t="shared" si="5"/>
        <v>50.2</v>
      </c>
      <c r="O9" s="61">
        <f t="shared" si="6"/>
        <v>2514.5500000000002</v>
      </c>
      <c r="P9" s="32"/>
      <c r="Q9" s="63" t="str">
        <f t="shared" si="7"/>
        <v>APS GRAVATAÍ</v>
      </c>
      <c r="R9" s="6">
        <f t="shared" si="8"/>
        <v>90.240000000000009</v>
      </c>
      <c r="S9" s="6">
        <f t="shared" si="9"/>
        <v>108.28800000000001</v>
      </c>
      <c r="T9" s="6">
        <f t="shared" si="10"/>
        <v>189.50400000000002</v>
      </c>
      <c r="U9" s="6">
        <f t="shared" si="11"/>
        <v>619.51</v>
      </c>
      <c r="V9" s="6">
        <f>VLOOKUP(Q9,'Desl. Base Porto Alegre'!$C$5:$S$18,13,FALSE())*($C$24+$D$24+$E$24*(VLOOKUP(Q9,'Desl. Base Porto Alegre'!$C$5:$S$18,17,FALSE())/12))</f>
        <v>23.82791666666667</v>
      </c>
      <c r="W9" s="6">
        <f>VLOOKUP(Q9,'Desl. Base Porto Alegre'!$C$5:$S$18,15,FALSE())*(2+(VLOOKUP(Q9,'Desl. Base Porto Alegre'!$C$5:$S$18,17,FALSE())/12))</f>
        <v>0</v>
      </c>
      <c r="X9" s="6">
        <f>VLOOKUP(Q9,'Desl. Base Porto Alegre'!$C$5:$Q$18,14,FALSE())</f>
        <v>0</v>
      </c>
      <c r="Y9" s="6">
        <f>VLOOKUP(Q9,'Desl. Base Porto Alegre'!$C$5:$Q$18,13,FALSE())*'Desl. Base Porto Alegre'!$E$23+'Desl. Base Porto Alegre'!$E$24*N9/12</f>
        <v>54.349166666666669</v>
      </c>
      <c r="Z9" s="6">
        <f>(H9/$AC$5)*'Equipe Técnica'!$C$13</f>
        <v>292.25586457073757</v>
      </c>
      <c r="AA9" s="6">
        <f>(I9/$AC$5)*'Equipe Técnica'!$C$13</f>
        <v>350.70703748488506</v>
      </c>
      <c r="AB9" s="6">
        <f>(L9/$AC$5)*'Equipe Técnica'!$C$13</f>
        <v>613.73731559854889</v>
      </c>
      <c r="AC9" s="6">
        <f>(M9/$AC$5)*'Equipe Técnica'!$C$13</f>
        <v>1198.2490447400239</v>
      </c>
      <c r="AD9" s="6">
        <f t="shared" si="12"/>
        <v>431.87086457073758</v>
      </c>
      <c r="AE9" s="6">
        <f t="shared" si="13"/>
        <v>508.37003748488507</v>
      </c>
      <c r="AF9" s="6">
        <f t="shared" si="14"/>
        <v>852.61631559854891</v>
      </c>
      <c r="AG9" s="6">
        <f t="shared" si="15"/>
        <v>1867.1340447400239</v>
      </c>
      <c r="AI9" s="63" t="str">
        <f t="shared" si="16"/>
        <v>APS GRAVATAÍ</v>
      </c>
      <c r="AJ9" s="74">
        <f>VLOOKUP(AI9,Unidades!D$5:H$27,5,)</f>
        <v>0.29070000000000001</v>
      </c>
      <c r="AK9" s="72">
        <f t="shared" si="17"/>
        <v>557.41572490145097</v>
      </c>
      <c r="AL9" s="72">
        <f t="shared" si="18"/>
        <v>656.15320738174114</v>
      </c>
      <c r="AM9" s="72">
        <f t="shared" si="19"/>
        <v>1100.4718785430471</v>
      </c>
      <c r="AN9" s="72">
        <f t="shared" si="20"/>
        <v>2409.9099115459489</v>
      </c>
      <c r="AO9" s="72">
        <f t="shared" si="21"/>
        <v>1160.3712664147015</v>
      </c>
      <c r="AP9" s="72">
        <f t="shared" si="22"/>
        <v>3481.1137992441045</v>
      </c>
      <c r="AQ9" s="72">
        <f t="shared" si="23"/>
        <v>4641.485065658806</v>
      </c>
      <c r="AR9" s="76"/>
      <c r="AS9" s="76"/>
      <c r="AT9" s="75"/>
      <c r="AU9" s="75"/>
      <c r="AV9" s="75"/>
      <c r="AW9" s="75"/>
    </row>
    <row r="10" spans="2:49" s="5" customFormat="1" ht="15" customHeight="1">
      <c r="B10" s="58" t="s">
        <v>198</v>
      </c>
      <c r="C10" s="59">
        <f>VLOOKUP($B10,Unidades!$D$5:$N$27,6,FALSE())</f>
        <v>1577.06</v>
      </c>
      <c r="D10" s="59">
        <f>VLOOKUP($B10,Unidades!$D$5:$N$27,7,FALSE())</f>
        <v>784.54</v>
      </c>
      <c r="E10" s="59">
        <f>VLOOKUP($B10,Unidades!$D$5:$N$27,8,FALSE())</f>
        <v>565.1</v>
      </c>
      <c r="F10" s="59">
        <f>VLOOKUP($B10,Unidades!$D$5:$N$27,9,FALSE())</f>
        <v>227.42</v>
      </c>
      <c r="G10" s="59">
        <f t="shared" si="0"/>
        <v>1005.0669999999999</v>
      </c>
      <c r="H10" s="60">
        <f t="shared" si="1"/>
        <v>2</v>
      </c>
      <c r="I10" s="60">
        <f t="shared" si="2"/>
        <v>2.4</v>
      </c>
      <c r="J10" s="60" t="str">
        <f>VLOOKUP($B10,Unidades!$D$5:$N$27,10,FALSE())</f>
        <v>NÃO</v>
      </c>
      <c r="K10" s="60" t="str">
        <f>VLOOKUP($B10,Unidades!$D$5:$N$27,11,FALSE())</f>
        <v>SIM</v>
      </c>
      <c r="L10" s="60">
        <f t="shared" si="3"/>
        <v>2.2000000000000002</v>
      </c>
      <c r="M10" s="60">
        <f t="shared" si="4"/>
        <v>6.2</v>
      </c>
      <c r="N10" s="60">
        <f t="shared" si="5"/>
        <v>44.2</v>
      </c>
      <c r="O10" s="61">
        <f t="shared" si="6"/>
        <v>2182.9700000000003</v>
      </c>
      <c r="P10" s="32"/>
      <c r="Q10" s="63" t="str">
        <f t="shared" si="7"/>
        <v>APS GUAÍBA</v>
      </c>
      <c r="R10" s="6">
        <f t="shared" si="8"/>
        <v>90.240000000000009</v>
      </c>
      <c r="S10" s="6">
        <f t="shared" si="9"/>
        <v>108.28800000000001</v>
      </c>
      <c r="T10" s="6">
        <f t="shared" si="10"/>
        <v>99.264000000000024</v>
      </c>
      <c r="U10" s="6">
        <f t="shared" si="11"/>
        <v>468.41000000000008</v>
      </c>
      <c r="V10" s="6">
        <f>VLOOKUP(Q10,'Desl. Base Porto Alegre'!$C$5:$S$18,13,FALSE())*($C$24+$D$24+$E$24*(VLOOKUP(Q10,'Desl. Base Porto Alegre'!$C$5:$S$18,17,FALSE())/12))</f>
        <v>44.478777777777786</v>
      </c>
      <c r="W10" s="6">
        <f>VLOOKUP(Q10,'Desl. Base Porto Alegre'!$C$5:$S$18,15,FALSE())*(2+(VLOOKUP(Q10,'Desl. Base Porto Alegre'!$C$5:$S$18,17,FALSE())/12))</f>
        <v>0</v>
      </c>
      <c r="X10" s="6">
        <f>VLOOKUP(Q10,'Desl. Base Porto Alegre'!$C$5:$Q$18,14,FALSE())</f>
        <v>0</v>
      </c>
      <c r="Y10" s="6">
        <f>VLOOKUP(Q10,'Desl. Base Porto Alegre'!$C$5:$Q$18,13,FALSE())*'Desl. Base Porto Alegre'!$E$23+'Desl. Base Porto Alegre'!$E$24*N10/12</f>
        <v>72.779166666666669</v>
      </c>
      <c r="Z10" s="6">
        <f>(H10/$AC$5)*'Equipe Técnica'!$C$13</f>
        <v>292.25586457073757</v>
      </c>
      <c r="AA10" s="6">
        <f>(I10/$AC$5)*'Equipe Técnica'!$C$13</f>
        <v>350.70703748488506</v>
      </c>
      <c r="AB10" s="6">
        <f>(L10/$AC$5)*'Equipe Técnica'!$C$13</f>
        <v>321.48145102781137</v>
      </c>
      <c r="AC10" s="6">
        <f>(M10/$AC$5)*'Equipe Técnica'!$C$13</f>
        <v>905.99318016928635</v>
      </c>
      <c r="AD10" s="6">
        <f t="shared" si="12"/>
        <v>456.55351369354463</v>
      </c>
      <c r="AE10" s="6">
        <f t="shared" si="13"/>
        <v>533.05268660769207</v>
      </c>
      <c r="AF10" s="6">
        <f t="shared" si="14"/>
        <v>494.80310015061843</v>
      </c>
      <c r="AG10" s="6">
        <f t="shared" si="15"/>
        <v>1448.4608292920934</v>
      </c>
      <c r="AI10" s="63" t="str">
        <f t="shared" si="16"/>
        <v>APS GUAÍBA</v>
      </c>
      <c r="AJ10" s="74">
        <f>VLOOKUP(AI10,Unidades!D$5:H$27,5,)</f>
        <v>0.28349999999999997</v>
      </c>
      <c r="AK10" s="72">
        <f t="shared" si="17"/>
        <v>585.98643482566456</v>
      </c>
      <c r="AL10" s="72">
        <f t="shared" si="18"/>
        <v>684.17312326097283</v>
      </c>
      <c r="AM10" s="72">
        <f t="shared" si="19"/>
        <v>635.07977904331881</v>
      </c>
      <c r="AN10" s="72">
        <f t="shared" si="20"/>
        <v>1859.099474396402</v>
      </c>
      <c r="AO10" s="72">
        <f t="shared" si="21"/>
        <v>1074.8157286195753</v>
      </c>
      <c r="AP10" s="72">
        <f t="shared" si="22"/>
        <v>3224.4471858587258</v>
      </c>
      <c r="AQ10" s="72">
        <f t="shared" si="23"/>
        <v>4299.2629144783014</v>
      </c>
      <c r="AR10" s="76"/>
      <c r="AS10" s="98" t="s">
        <v>64</v>
      </c>
      <c r="AT10" s="255">
        <f>(SUM(AT8:AW8))/12</f>
        <v>15364.851021199189</v>
      </c>
      <c r="AU10" s="255"/>
      <c r="AV10" s="75"/>
      <c r="AW10" s="75"/>
    </row>
    <row r="11" spans="2:49" s="5" customFormat="1" ht="15" customHeight="1">
      <c r="B11" s="58" t="s">
        <v>200</v>
      </c>
      <c r="C11" s="59">
        <f>VLOOKUP($B11,Unidades!$D$5:$N$27,6,FALSE())</f>
        <v>436.8</v>
      </c>
      <c r="D11" s="59">
        <f>VLOOKUP($B11,Unidades!$D$5:$N$27,7,FALSE())</f>
        <v>0</v>
      </c>
      <c r="E11" s="59">
        <f>VLOOKUP($B11,Unidades!$D$5:$N$27,8,FALSE())</f>
        <v>436.8</v>
      </c>
      <c r="F11" s="59">
        <f>VLOOKUP($B11,Unidades!$D$5:$N$27,9,FALSE())</f>
        <v>0</v>
      </c>
      <c r="G11" s="59">
        <f t="shared" si="0"/>
        <v>152.88</v>
      </c>
      <c r="H11" s="60">
        <f t="shared" si="1"/>
        <v>1.5</v>
      </c>
      <c r="I11" s="60">
        <f t="shared" si="2"/>
        <v>1.7999999999999998</v>
      </c>
      <c r="J11" s="60" t="str">
        <f>VLOOKUP($B11,Unidades!$D$5:$N$27,10,FALSE())</f>
        <v>NÃO</v>
      </c>
      <c r="K11" s="60" t="str">
        <f>VLOOKUP($B11,Unidades!$D$5:$N$27,11,FALSE())</f>
        <v>NÃO</v>
      </c>
      <c r="L11" s="60">
        <f t="shared" si="3"/>
        <v>1.6500000000000001</v>
      </c>
      <c r="M11" s="60">
        <f t="shared" si="4"/>
        <v>1.6500000000000001</v>
      </c>
      <c r="N11" s="60">
        <f t="shared" si="5"/>
        <v>30.15</v>
      </c>
      <c r="O11" s="61">
        <f t="shared" si="6"/>
        <v>1360.3680000000002</v>
      </c>
      <c r="P11" s="32"/>
      <c r="Q11" s="63" t="str">
        <f t="shared" si="7"/>
        <v>CEDOCPREV CANOAS</v>
      </c>
      <c r="R11" s="6">
        <f t="shared" si="8"/>
        <v>67.680000000000007</v>
      </c>
      <c r="S11" s="6">
        <f t="shared" si="9"/>
        <v>81.215999999999994</v>
      </c>
      <c r="T11" s="6">
        <f t="shared" si="10"/>
        <v>74.448000000000008</v>
      </c>
      <c r="U11" s="6">
        <f t="shared" si="11"/>
        <v>74.448000000000008</v>
      </c>
      <c r="V11" s="6">
        <f>VLOOKUP(Q11,'Desl. Base Porto Alegre'!$C$5:$S$18,13,FALSE())*($C$24+$D$24+$E$24*(VLOOKUP(Q11,'Desl. Base Porto Alegre'!$C$5:$S$18,17,FALSE())/12))</f>
        <v>18.665201388888892</v>
      </c>
      <c r="W11" s="6">
        <f>VLOOKUP(Q11,'Desl. Base Porto Alegre'!$C$5:$S$18,15,FALSE())*(2+(VLOOKUP(Q11,'Desl. Base Porto Alegre'!$C$5:$S$18,17,FALSE())/12))</f>
        <v>0</v>
      </c>
      <c r="X11" s="6">
        <f>VLOOKUP(Q11,'Desl. Base Porto Alegre'!$C$5:$Q$18,14,FALSE())</f>
        <v>0</v>
      </c>
      <c r="Y11" s="6">
        <f>VLOOKUP(Q11,'Desl. Base Porto Alegre'!$C$5:$Q$18,13,FALSE())*'Desl. Base Porto Alegre'!$E$23+'Desl. Base Porto Alegre'!$E$24*N11/12</f>
        <v>37.260624999999997</v>
      </c>
      <c r="Z11" s="6">
        <f>(H11/$AC$5)*'Equipe Técnica'!$C$13</f>
        <v>219.19189842805315</v>
      </c>
      <c r="AA11" s="6">
        <f>(I11/$AC$5)*'Equipe Técnica'!$C$13</f>
        <v>263.03027811366377</v>
      </c>
      <c r="AB11" s="6">
        <f>(L11/$AC$5)*'Equipe Técnica'!$C$13</f>
        <v>241.11108827085849</v>
      </c>
      <c r="AC11" s="6">
        <f>(M11/$AC$5)*'Equipe Técnica'!$C$13</f>
        <v>241.11108827085849</v>
      </c>
      <c r="AD11" s="6">
        <f t="shared" si="12"/>
        <v>322.19347298945667</v>
      </c>
      <c r="AE11" s="6">
        <f t="shared" si="13"/>
        <v>379.56785267506729</v>
      </c>
      <c r="AF11" s="6">
        <f t="shared" si="14"/>
        <v>350.88066283226203</v>
      </c>
      <c r="AG11" s="6">
        <f t="shared" si="15"/>
        <v>350.88066283226203</v>
      </c>
      <c r="AI11" s="63" t="str">
        <f t="shared" si="16"/>
        <v>CEDOCPREV CANOAS</v>
      </c>
      <c r="AJ11" s="74">
        <f>VLOOKUP(AI11,Unidades!D$5:H$27,5,)</f>
        <v>0.2979</v>
      </c>
      <c r="AK11" s="72">
        <f t="shared" si="17"/>
        <v>418.1749085930158</v>
      </c>
      <c r="AL11" s="72">
        <f t="shared" si="18"/>
        <v>492.64111598696985</v>
      </c>
      <c r="AM11" s="72">
        <f t="shared" si="19"/>
        <v>455.40801228999294</v>
      </c>
      <c r="AN11" s="72">
        <f t="shared" si="20"/>
        <v>455.40801228999294</v>
      </c>
      <c r="AO11" s="72">
        <f t="shared" si="21"/>
        <v>696.24061699450397</v>
      </c>
      <c r="AP11" s="72">
        <f t="shared" si="22"/>
        <v>2088.721850983512</v>
      </c>
      <c r="AQ11" s="72">
        <f t="shared" si="23"/>
        <v>2784.9624679780159</v>
      </c>
      <c r="AR11" s="76"/>
      <c r="AS11" s="98" t="s">
        <v>75</v>
      </c>
      <c r="AT11" s="255">
        <f>AT10*12</f>
        <v>184378.21225439027</v>
      </c>
      <c r="AU11" s="255"/>
      <c r="AV11" s="75"/>
      <c r="AW11" s="75"/>
    </row>
    <row r="12" spans="2:49" s="5" customFormat="1" ht="15" customHeight="1">
      <c r="B12" s="58" t="s">
        <v>202</v>
      </c>
      <c r="C12" s="59">
        <f>VLOOKUP($B12,Unidades!$D$5:$N$27,6,FALSE())</f>
        <v>2817.56</v>
      </c>
      <c r="D12" s="59">
        <f>VLOOKUP($B12,Unidades!$D$5:$N$27,7,FALSE())</f>
        <v>0</v>
      </c>
      <c r="E12" s="59">
        <f>VLOOKUP($B12,Unidades!$D$5:$N$27,8,FALSE())</f>
        <v>731.05</v>
      </c>
      <c r="F12" s="59">
        <f>VLOOKUP($B12,Unidades!$D$5:$N$27,9,FALSE())</f>
        <v>2086.5100000000002</v>
      </c>
      <c r="G12" s="59">
        <f t="shared" si="0"/>
        <v>464.51850000000002</v>
      </c>
      <c r="H12" s="60">
        <f t="shared" si="1"/>
        <v>1.5</v>
      </c>
      <c r="I12" s="60">
        <f t="shared" si="2"/>
        <v>1.7999999999999998</v>
      </c>
      <c r="J12" s="60" t="str">
        <f>VLOOKUP($B12,Unidades!$D$5:$N$27,10,FALSE())</f>
        <v>NÃO</v>
      </c>
      <c r="K12" s="60" t="str">
        <f>VLOOKUP($B12,Unidades!$D$5:$N$27,11,FALSE())</f>
        <v>NÃO</v>
      </c>
      <c r="L12" s="60">
        <f t="shared" si="3"/>
        <v>1.6500000000000001</v>
      </c>
      <c r="M12" s="60">
        <f t="shared" si="4"/>
        <v>1.6500000000000001</v>
      </c>
      <c r="N12" s="60">
        <f t="shared" si="5"/>
        <v>30.15</v>
      </c>
      <c r="O12" s="61">
        <f t="shared" si="6"/>
        <v>1360.3680000000002</v>
      </c>
      <c r="P12" s="32"/>
      <c r="Q12" s="63" t="str">
        <f t="shared" si="7"/>
        <v>DEPÓSITO ESTEIO</v>
      </c>
      <c r="R12" s="6">
        <f t="shared" si="8"/>
        <v>67.680000000000007</v>
      </c>
      <c r="S12" s="6">
        <f t="shared" si="9"/>
        <v>81.215999999999994</v>
      </c>
      <c r="T12" s="6">
        <f t="shared" si="10"/>
        <v>74.448000000000008</v>
      </c>
      <c r="U12" s="6">
        <f t="shared" si="11"/>
        <v>74.448000000000008</v>
      </c>
      <c r="V12" s="6">
        <f>VLOOKUP(Q12,'Desl. Base Porto Alegre'!$C$5:$S$18,13,FALSE())*($C$24+$D$24+$E$24*(VLOOKUP(Q12,'Desl. Base Porto Alegre'!$C$5:$S$18,17,FALSE())/12))</f>
        <v>24.622180555555563</v>
      </c>
      <c r="W12" s="6">
        <f>VLOOKUP(Q12,'Desl. Base Porto Alegre'!$C$5:$S$18,15,FALSE())*(2+(VLOOKUP(Q12,'Desl. Base Porto Alegre'!$C$5:$S$18,17,FALSE())/12))</f>
        <v>0</v>
      </c>
      <c r="X12" s="6">
        <f>VLOOKUP(Q12,'Desl. Base Porto Alegre'!$C$5:$Q$18,14,FALSE())</f>
        <v>0</v>
      </c>
      <c r="Y12" s="6">
        <f>VLOOKUP(Q12,'Desl. Base Porto Alegre'!$C$5:$Q$18,13,FALSE())*'Desl. Base Porto Alegre'!$E$23+'Desl. Base Porto Alegre'!$E$24*N12/12</f>
        <v>43.579374999999999</v>
      </c>
      <c r="Z12" s="6">
        <f>(H12/$AC$5)*'Equipe Técnica'!$C$13</f>
        <v>219.19189842805315</v>
      </c>
      <c r="AA12" s="6">
        <f>(I12/$AC$5)*'Equipe Técnica'!$C$13</f>
        <v>263.03027811366377</v>
      </c>
      <c r="AB12" s="6">
        <f>(L12/$AC$5)*'Equipe Técnica'!$C$13</f>
        <v>241.11108827085849</v>
      </c>
      <c r="AC12" s="6">
        <f>(M12/$AC$5)*'Equipe Técnica'!$C$13</f>
        <v>241.11108827085849</v>
      </c>
      <c r="AD12" s="6">
        <f t="shared" si="12"/>
        <v>329.94656509471986</v>
      </c>
      <c r="AE12" s="6">
        <f t="shared" si="13"/>
        <v>387.32094478033042</v>
      </c>
      <c r="AF12" s="6">
        <f t="shared" si="14"/>
        <v>358.63375493752517</v>
      </c>
      <c r="AG12" s="6">
        <f t="shared" si="15"/>
        <v>358.63375493752517</v>
      </c>
      <c r="AI12" s="63" t="str">
        <f t="shared" si="16"/>
        <v>DEPÓSITO ESTEIO</v>
      </c>
      <c r="AJ12" s="74">
        <f>VLOOKUP(AI12,Unidades!D$5:H$27,5,)</f>
        <v>0.28349999999999997</v>
      </c>
      <c r="AK12" s="72">
        <f t="shared" si="17"/>
        <v>423.48641629907297</v>
      </c>
      <c r="AL12" s="72">
        <f t="shared" si="18"/>
        <v>497.12643262555412</v>
      </c>
      <c r="AM12" s="72">
        <f t="shared" si="19"/>
        <v>460.3064244623136</v>
      </c>
      <c r="AN12" s="72">
        <f t="shared" si="20"/>
        <v>460.3064244623136</v>
      </c>
      <c r="AO12" s="72">
        <f t="shared" si="21"/>
        <v>704.27183328983608</v>
      </c>
      <c r="AP12" s="72">
        <f t="shared" si="22"/>
        <v>2112.8154998695081</v>
      </c>
      <c r="AQ12" s="72">
        <f t="shared" si="23"/>
        <v>2817.0873331593443</v>
      </c>
      <c r="AR12" s="76"/>
      <c r="AS12" s="98" t="s">
        <v>65</v>
      </c>
      <c r="AT12" s="255">
        <f>AT10*3</f>
        <v>46094.553063597567</v>
      </c>
      <c r="AU12" s="255"/>
      <c r="AV12" s="76"/>
      <c r="AW12" s="76"/>
    </row>
    <row r="13" spans="2:49" s="5" customFormat="1" ht="15" customHeight="1">
      <c r="B13" s="58" t="s">
        <v>204</v>
      </c>
      <c r="C13" s="59">
        <f>VLOOKUP($B13,Unidades!$D$5:$N$27,6,FALSE())</f>
        <v>3136.2</v>
      </c>
      <c r="D13" s="59">
        <f>VLOOKUP($B13,Unidades!$D$5:$N$27,7,FALSE())</f>
        <v>2619.3000000000002</v>
      </c>
      <c r="E13" s="59">
        <f>VLOOKUP($B13,Unidades!$D$5:$N$27,8,FALSE())</f>
        <v>376.78</v>
      </c>
      <c r="F13" s="59">
        <f>VLOOKUP($B13,Unidades!$D$5:$N$27,9,FALSE())</f>
        <v>140.12</v>
      </c>
      <c r="G13" s="59">
        <f t="shared" si="0"/>
        <v>2765.1850000000004</v>
      </c>
      <c r="H13" s="60">
        <f t="shared" si="1"/>
        <v>3</v>
      </c>
      <c r="I13" s="60">
        <f t="shared" si="2"/>
        <v>3.5999999999999996</v>
      </c>
      <c r="J13" s="60" t="str">
        <f>VLOOKUP($B13,Unidades!$D$5:$N$27,10,FALSE())</f>
        <v>SIM</v>
      </c>
      <c r="K13" s="60" t="str">
        <f>VLOOKUP($B13,Unidades!$D$5:$N$27,11,FALSE())</f>
        <v>SIM</v>
      </c>
      <c r="L13" s="60">
        <f t="shared" si="3"/>
        <v>5.3000000000000007</v>
      </c>
      <c r="M13" s="60">
        <f t="shared" si="4"/>
        <v>9.3000000000000007</v>
      </c>
      <c r="N13" s="60">
        <f t="shared" si="5"/>
        <v>70.3</v>
      </c>
      <c r="O13" s="61">
        <f t="shared" si="6"/>
        <v>3454.9350000000004</v>
      </c>
      <c r="P13" s="32"/>
      <c r="Q13" s="63" t="str">
        <f t="shared" si="7"/>
        <v>GEX/APS CANOAS</v>
      </c>
      <c r="R13" s="6">
        <f t="shared" si="8"/>
        <v>135.36000000000001</v>
      </c>
      <c r="S13" s="6">
        <f t="shared" si="9"/>
        <v>162.43199999999999</v>
      </c>
      <c r="T13" s="6">
        <f t="shared" si="10"/>
        <v>239.13600000000005</v>
      </c>
      <c r="U13" s="6">
        <f t="shared" si="11"/>
        <v>702.61500000000012</v>
      </c>
      <c r="V13" s="6">
        <f>VLOOKUP(Q13,'Desl. Base Porto Alegre'!$C$5:$S$18,13,FALSE())*($C$24+$D$24+$E$24*(VLOOKUP(Q13,'Desl. Base Porto Alegre'!$C$5:$S$18,17,FALSE())/12))</f>
        <v>18.665201388888892</v>
      </c>
      <c r="W13" s="6">
        <f>VLOOKUP(Q13,'Desl. Base Porto Alegre'!$C$5:$S$18,15,FALSE())*(2+(VLOOKUP(Q13,'Desl. Base Porto Alegre'!$C$5:$S$18,17,FALSE())/12))</f>
        <v>0</v>
      </c>
      <c r="X13" s="6">
        <f>VLOOKUP(Q13,'Desl. Base Porto Alegre'!$C$5:$Q$18,14,FALSE())</f>
        <v>0</v>
      </c>
      <c r="Y13" s="6">
        <f>VLOOKUP(Q13,'Desl. Base Porto Alegre'!$C$5:$Q$18,13,FALSE())*'Desl. Base Porto Alegre'!$E$23+'Desl. Base Porto Alegre'!$E$24*N13/12</f>
        <v>60.514166666666661</v>
      </c>
      <c r="Z13" s="6">
        <f>(H13/$AC$5)*'Equipe Técnica'!$C$13</f>
        <v>438.3837968561063</v>
      </c>
      <c r="AA13" s="6">
        <f>(I13/$AC$5)*'Equipe Técnica'!$C$13</f>
        <v>526.06055622732754</v>
      </c>
      <c r="AB13" s="6">
        <f>(L13/$AC$5)*'Equipe Técnica'!$C$13</f>
        <v>774.47804111245466</v>
      </c>
      <c r="AC13" s="6">
        <f>(M13/$AC$5)*'Equipe Técnica'!$C$13</f>
        <v>1358.9897702539297</v>
      </c>
      <c r="AD13" s="6">
        <f t="shared" si="12"/>
        <v>623.75181878593094</v>
      </c>
      <c r="AE13" s="6">
        <f t="shared" si="13"/>
        <v>738.50057815715206</v>
      </c>
      <c r="AF13" s="6">
        <f t="shared" si="14"/>
        <v>1063.6220630422793</v>
      </c>
      <c r="AG13" s="6">
        <f t="shared" si="15"/>
        <v>2111.6127921837542</v>
      </c>
      <c r="AI13" s="63" t="str">
        <f t="shared" si="16"/>
        <v>GEX/APS CANOAS</v>
      </c>
      <c r="AJ13" s="74">
        <f>VLOOKUP(AI13,Unidades!D$5:H$27,5,)</f>
        <v>0.2979</v>
      </c>
      <c r="AK13" s="72">
        <f t="shared" si="17"/>
        <v>809.56748560225981</v>
      </c>
      <c r="AL13" s="72">
        <f t="shared" si="18"/>
        <v>958.49990039016768</v>
      </c>
      <c r="AM13" s="72">
        <f t="shared" si="19"/>
        <v>1380.4750756225742</v>
      </c>
      <c r="AN13" s="72">
        <f t="shared" si="20"/>
        <v>2740.6622429752947</v>
      </c>
      <c r="AO13" s="72">
        <f t="shared" si="21"/>
        <v>1587.5351519173526</v>
      </c>
      <c r="AP13" s="72">
        <f t="shared" si="22"/>
        <v>4762.6054557520574</v>
      </c>
      <c r="AQ13" s="72">
        <f t="shared" si="23"/>
        <v>6350.1406076694102</v>
      </c>
      <c r="AR13" s="76"/>
      <c r="AS13" s="98" t="s">
        <v>76</v>
      </c>
      <c r="AT13" s="255">
        <f>AT12*12</f>
        <v>553134.63676317083</v>
      </c>
      <c r="AU13" s="255"/>
      <c r="AV13" s="75"/>
      <c r="AW13" s="75"/>
    </row>
    <row r="14" spans="2:49" s="5" customFormat="1" ht="15" customHeight="1">
      <c r="B14" s="58" t="s">
        <v>224</v>
      </c>
      <c r="C14" s="59">
        <f>VLOOKUP($B14,Unidades!$D$5:$N$27,6,FALSE())</f>
        <v>394</v>
      </c>
      <c r="D14" s="59">
        <f>VLOOKUP($B14,Unidades!$D$5:$N$27,7,FALSE())</f>
        <v>374</v>
      </c>
      <c r="E14" s="59">
        <f>VLOOKUP($B14,Unidades!$D$5:$N$27,8,FALSE())</f>
        <v>20</v>
      </c>
      <c r="F14" s="59">
        <f>VLOOKUP($B14,Unidades!$D$5:$N$27,9,FALSE())</f>
        <v>0</v>
      </c>
      <c r="G14" s="59">
        <f t="shared" si="0"/>
        <v>381</v>
      </c>
      <c r="H14" s="60">
        <f t="shared" si="1"/>
        <v>1.5</v>
      </c>
      <c r="I14" s="60">
        <f t="shared" si="2"/>
        <v>1.7999999999999998</v>
      </c>
      <c r="J14" s="60" t="str">
        <f>VLOOKUP($B14,Unidades!$D$5:$N$27,10,FALSE())</f>
        <v>NÃO</v>
      </c>
      <c r="K14" s="60" t="str">
        <f>VLOOKUP($B14,Unidades!$D$5:$N$27,11,FALSE())</f>
        <v>NÃO</v>
      </c>
      <c r="L14" s="60">
        <f t="shared" si="3"/>
        <v>1.6500000000000001</v>
      </c>
      <c r="M14" s="60">
        <f t="shared" si="4"/>
        <v>1.6500000000000001</v>
      </c>
      <c r="N14" s="60">
        <f t="shared" si="5"/>
        <v>30.15</v>
      </c>
      <c r="O14" s="61">
        <f t="shared" si="6"/>
        <v>1360.3680000000002</v>
      </c>
      <c r="P14" s="32"/>
      <c r="Q14" s="63" t="str">
        <f t="shared" si="7"/>
        <v>APS ALVORADA</v>
      </c>
      <c r="R14" s="6">
        <f t="shared" si="8"/>
        <v>67.680000000000007</v>
      </c>
      <c r="S14" s="6">
        <f t="shared" si="9"/>
        <v>81.215999999999994</v>
      </c>
      <c r="T14" s="6">
        <f t="shared" si="10"/>
        <v>74.448000000000008</v>
      </c>
      <c r="U14" s="6">
        <f t="shared" si="11"/>
        <v>74.448000000000008</v>
      </c>
      <c r="V14" s="6">
        <f>VLOOKUP(Q14,'Desl. Base Porto Alegre'!$C$5:$S$18,13,FALSE())*($C$24+$D$24+$E$24*(VLOOKUP(Q14,'Desl. Base Porto Alegre'!$C$5:$S$18,17,FALSE())/12))</f>
        <v>44.478777777777786</v>
      </c>
      <c r="W14" s="6">
        <f>VLOOKUP(Q14,'Desl. Base Porto Alegre'!$C$5:$S$18,15,FALSE())*(2+(VLOOKUP(Q14,'Desl. Base Porto Alegre'!$C$5:$S$18,17,FALSE())/12))</f>
        <v>0</v>
      </c>
      <c r="X14" s="6">
        <f>VLOOKUP(Q14,'Desl. Base Porto Alegre'!$C$5:$Q$18,14,FALSE())</f>
        <v>0</v>
      </c>
      <c r="Y14" s="6">
        <f>VLOOKUP(Q14,'Desl. Base Porto Alegre'!$C$5:$Q$18,13,FALSE())*'Desl. Base Porto Alegre'!$E$23+'Desl. Base Porto Alegre'!$E$24*N14/12</f>
        <v>64.641874999999999</v>
      </c>
      <c r="Z14" s="6">
        <f>(H14/$AC$5)*'Equipe Técnica'!$C$13</f>
        <v>219.19189842805315</v>
      </c>
      <c r="AA14" s="6">
        <f>(I14/$AC$5)*'Equipe Técnica'!$C$13</f>
        <v>263.03027811366377</v>
      </c>
      <c r="AB14" s="6">
        <f>(L14/$AC$5)*'Equipe Técnica'!$C$13</f>
        <v>241.11108827085849</v>
      </c>
      <c r="AC14" s="6">
        <f>(M14/$AC$5)*'Equipe Técnica'!$C$13</f>
        <v>241.11108827085849</v>
      </c>
      <c r="AD14" s="6">
        <f t="shared" si="12"/>
        <v>355.79020544559705</v>
      </c>
      <c r="AE14" s="6">
        <f t="shared" si="13"/>
        <v>413.16458513120767</v>
      </c>
      <c r="AF14" s="6">
        <f t="shared" si="14"/>
        <v>384.47739528840236</v>
      </c>
      <c r="AG14" s="6">
        <f t="shared" si="15"/>
        <v>384.47739528840236</v>
      </c>
      <c r="AI14" s="63" t="str">
        <f t="shared" si="16"/>
        <v>APS ALVORADA</v>
      </c>
      <c r="AJ14" s="74">
        <f>VLOOKUP(AI14,Unidades!D$5:H$27,5,)</f>
        <v>0.2979</v>
      </c>
      <c r="AK14" s="72">
        <f t="shared" si="17"/>
        <v>461.78010764784045</v>
      </c>
      <c r="AL14" s="72">
        <f t="shared" si="18"/>
        <v>536.24631504179445</v>
      </c>
      <c r="AM14" s="72">
        <f t="shared" si="19"/>
        <v>499.01321134481742</v>
      </c>
      <c r="AN14" s="72">
        <f t="shared" si="20"/>
        <v>499.01321134481742</v>
      </c>
      <c r="AO14" s="72">
        <f t="shared" si="21"/>
        <v>765.28218216464302</v>
      </c>
      <c r="AP14" s="72">
        <f t="shared" si="22"/>
        <v>2295.8465464939291</v>
      </c>
      <c r="AQ14" s="72">
        <f t="shared" si="23"/>
        <v>3061.1287286585721</v>
      </c>
      <c r="AR14" s="76"/>
      <c r="AS14" s="98" t="s">
        <v>77</v>
      </c>
      <c r="AT14" s="255">
        <f>AT10+AT12</f>
        <v>61459.404084796755</v>
      </c>
      <c r="AU14" s="255"/>
      <c r="AV14" s="75"/>
      <c r="AW14" s="75"/>
    </row>
    <row r="15" spans="2:49" s="5" customFormat="1" ht="15" customHeight="1">
      <c r="B15" s="58" t="s">
        <v>226</v>
      </c>
      <c r="C15" s="59">
        <f>VLOOKUP($B15,Unidades!$D$5:$N$27,6,FALSE())</f>
        <v>587.37</v>
      </c>
      <c r="D15" s="59">
        <f>VLOOKUP($B15,Unidades!$D$5:$N$27,7,FALSE())</f>
        <v>396.9</v>
      </c>
      <c r="E15" s="59">
        <f>VLOOKUP($B15,Unidades!$D$5:$N$27,8,FALSE())</f>
        <v>132.9</v>
      </c>
      <c r="F15" s="59">
        <f>VLOOKUP($B15,Unidades!$D$5:$N$27,9,FALSE())</f>
        <v>57.57</v>
      </c>
      <c r="G15" s="59">
        <f t="shared" si="0"/>
        <v>449.17199999999997</v>
      </c>
      <c r="H15" s="60">
        <f t="shared" si="1"/>
        <v>1.5</v>
      </c>
      <c r="I15" s="60">
        <f t="shared" si="2"/>
        <v>1.7999999999999998</v>
      </c>
      <c r="J15" s="60" t="str">
        <f>VLOOKUP($B15,Unidades!$D$5:$N$27,10,FALSE())</f>
        <v>SIM</v>
      </c>
      <c r="K15" s="60" t="str">
        <f>VLOOKUP($B15,Unidades!$D$5:$N$27,11,FALSE())</f>
        <v>SIM</v>
      </c>
      <c r="L15" s="60">
        <f t="shared" si="3"/>
        <v>3.6500000000000004</v>
      </c>
      <c r="M15" s="60">
        <f t="shared" si="4"/>
        <v>7.65</v>
      </c>
      <c r="N15" s="60">
        <f t="shared" si="5"/>
        <v>40.15</v>
      </c>
      <c r="O15" s="61">
        <f t="shared" si="6"/>
        <v>2044.3575000000003</v>
      </c>
      <c r="P15" s="32"/>
      <c r="Q15" s="63" t="str">
        <f t="shared" si="7"/>
        <v>APS PORTO ALEGRE- CENTRO</v>
      </c>
      <c r="R15" s="6">
        <f t="shared" si="8"/>
        <v>67.680000000000007</v>
      </c>
      <c r="S15" s="6">
        <f t="shared" si="9"/>
        <v>81.215999999999994</v>
      </c>
      <c r="T15" s="6">
        <f t="shared" si="10"/>
        <v>164.68800000000005</v>
      </c>
      <c r="U15" s="6">
        <f t="shared" si="11"/>
        <v>577.9575000000001</v>
      </c>
      <c r="V15" s="6">
        <f>VLOOKUP(Q15,'Desl. Base Porto Alegre'!$C$5:$S$18,13,FALSE())*($C$24+$D$24+$E$24*(VLOOKUP(Q15,'Desl. Base Porto Alegre'!$C$5:$S$18,17,FALSE())/12))</f>
        <v>8.7369027777777788</v>
      </c>
      <c r="W15" s="6">
        <f>VLOOKUP(Q15,'Desl. Base Porto Alegre'!$C$5:$S$18,15,FALSE())*(2+(VLOOKUP(Q15,'Desl. Base Porto Alegre'!$C$5:$S$18,17,FALSE())/12))</f>
        <v>0</v>
      </c>
      <c r="X15" s="6">
        <f>VLOOKUP(Q15,'Desl. Base Porto Alegre'!$C$5:$Q$18,14,FALSE())</f>
        <v>0</v>
      </c>
      <c r="Y15" s="6">
        <f>VLOOKUP(Q15,'Desl. Base Porto Alegre'!$C$5:$Q$18,13,FALSE())*'Desl. Base Porto Alegre'!$E$23+'Desl. Base Porto Alegre'!$E$24*N15/12</f>
        <v>32.521041666666662</v>
      </c>
      <c r="Z15" s="6">
        <f>(H15/$AC$5)*'Equipe Técnica'!$C$13</f>
        <v>219.19189842805315</v>
      </c>
      <c r="AA15" s="6">
        <f>(I15/$AC$5)*'Equipe Técnica'!$C$13</f>
        <v>263.03027811366377</v>
      </c>
      <c r="AB15" s="6">
        <f>(L15/$AC$5)*'Equipe Técnica'!$C$13</f>
        <v>533.36695284159612</v>
      </c>
      <c r="AC15" s="6">
        <f>(M15/$AC$5)*'Equipe Técnica'!$C$13</f>
        <v>1117.8786819830711</v>
      </c>
      <c r="AD15" s="6">
        <f t="shared" si="12"/>
        <v>312.92954755086021</v>
      </c>
      <c r="AE15" s="6">
        <f t="shared" si="13"/>
        <v>370.30392723647077</v>
      </c>
      <c r="AF15" s="6">
        <f t="shared" si="14"/>
        <v>724.11260196440321</v>
      </c>
      <c r="AG15" s="6">
        <f t="shared" si="15"/>
        <v>1721.8938311058782</v>
      </c>
      <c r="AI15" s="63" t="str">
        <f t="shared" si="16"/>
        <v>APS PORTO ALEGRE- CENTRO</v>
      </c>
      <c r="AJ15" s="74">
        <f>VLOOKUP(AI15,Unidades!D$5:H$27,5,)</f>
        <v>0.31269999999999998</v>
      </c>
      <c r="AK15" s="72">
        <f t="shared" si="17"/>
        <v>410.78261707001417</v>
      </c>
      <c r="AL15" s="72">
        <f t="shared" si="18"/>
        <v>486.09796528331515</v>
      </c>
      <c r="AM15" s="72">
        <f t="shared" si="19"/>
        <v>950.54261259867212</v>
      </c>
      <c r="AN15" s="72">
        <f t="shared" si="20"/>
        <v>2260.3300320926865</v>
      </c>
      <c r="AO15" s="72">
        <f t="shared" si="21"/>
        <v>919.59987693862183</v>
      </c>
      <c r="AP15" s="72">
        <f t="shared" si="22"/>
        <v>2758.7996308158654</v>
      </c>
      <c r="AQ15" s="72">
        <f t="shared" si="23"/>
        <v>3678.3995077544873</v>
      </c>
      <c r="AR15" s="76"/>
      <c r="AS15" s="98" t="s">
        <v>78</v>
      </c>
      <c r="AT15" s="255">
        <f>AT11+AT13</f>
        <v>737512.84901756106</v>
      </c>
      <c r="AU15" s="255"/>
      <c r="AV15" s="76"/>
      <c r="AW15" s="76"/>
    </row>
    <row r="16" spans="2:49" s="5" customFormat="1" ht="15" customHeight="1">
      <c r="B16" s="58" t="s">
        <v>228</v>
      </c>
      <c r="C16" s="59">
        <f>VLOOKUP($B16,Unidades!$D$5:$N$27,6,FALSE())</f>
        <v>10773</v>
      </c>
      <c r="D16" s="59">
        <f>VLOOKUP($B16,Unidades!$D$5:$N$27,7,FALSE())</f>
        <v>3538</v>
      </c>
      <c r="E16" s="59">
        <f>VLOOKUP($B16,Unidades!$D$5:$N$27,8,FALSE())</f>
        <v>2625.3</v>
      </c>
      <c r="F16" s="59">
        <f>VLOOKUP($B16,Unidades!$D$5:$N$27,9,FALSE())</f>
        <v>4609.7</v>
      </c>
      <c r="G16" s="59">
        <f t="shared" si="0"/>
        <v>4917.8249999999998</v>
      </c>
      <c r="H16" s="60">
        <f t="shared" si="1"/>
        <v>3</v>
      </c>
      <c r="I16" s="60">
        <f t="shared" si="2"/>
        <v>3.5999999999999996</v>
      </c>
      <c r="J16" s="60" t="str">
        <f>VLOOKUP($B16,Unidades!$D$5:$N$27,10,FALSE())</f>
        <v>SIM</v>
      </c>
      <c r="K16" s="60" t="str">
        <f>VLOOKUP($B16,Unidades!$D$5:$N$27,11,FALSE())</f>
        <v>SIM</v>
      </c>
      <c r="L16" s="60">
        <f t="shared" si="3"/>
        <v>5.3000000000000007</v>
      </c>
      <c r="M16" s="60">
        <f t="shared" si="4"/>
        <v>9.3000000000000007</v>
      </c>
      <c r="N16" s="60">
        <f t="shared" si="5"/>
        <v>70.3</v>
      </c>
      <c r="O16" s="61">
        <f t="shared" si="6"/>
        <v>3454.9350000000004</v>
      </c>
      <c r="P16" s="32"/>
      <c r="Q16" s="63" t="str">
        <f t="shared" si="7"/>
        <v>APS PORTO ALEGRE-PARTENON</v>
      </c>
      <c r="R16" s="6">
        <f t="shared" si="8"/>
        <v>135.36000000000001</v>
      </c>
      <c r="S16" s="6">
        <f t="shared" si="9"/>
        <v>162.43199999999999</v>
      </c>
      <c r="T16" s="6">
        <f t="shared" si="10"/>
        <v>239.13600000000005</v>
      </c>
      <c r="U16" s="6">
        <f t="shared" si="11"/>
        <v>702.61500000000012</v>
      </c>
      <c r="V16" s="6">
        <f>VLOOKUP(Q16,'Desl. Base Porto Alegre'!$C$5:$S$18,13,FALSE())*($C$24+$D$24+$E$24*(VLOOKUP(Q16,'Desl. Base Porto Alegre'!$C$5:$S$18,17,FALSE())/12))</f>
        <v>8.7369027777777788</v>
      </c>
      <c r="W16" s="6">
        <f>VLOOKUP(Q16,'Desl. Base Porto Alegre'!$C$5:$S$18,15,FALSE())*(2+(VLOOKUP(Q16,'Desl. Base Porto Alegre'!$C$5:$S$18,17,FALSE())/12))</f>
        <v>0</v>
      </c>
      <c r="X16" s="6">
        <f>VLOOKUP(Q16,'Desl. Base Porto Alegre'!$C$5:$Q$18,14,FALSE())</f>
        <v>0</v>
      </c>
      <c r="Y16" s="6">
        <f>VLOOKUP(Q16,'Desl. Base Porto Alegre'!$C$5:$Q$18,13,FALSE())*'Desl. Base Porto Alegre'!$E$23+'Desl. Base Porto Alegre'!$E$24*N16/12</f>
        <v>49.982916666666661</v>
      </c>
      <c r="Z16" s="6">
        <f>(H16/$AC$5)*'Equipe Técnica'!$C$13</f>
        <v>438.3837968561063</v>
      </c>
      <c r="AA16" s="6">
        <f>(I16/$AC$5)*'Equipe Técnica'!$C$13</f>
        <v>526.06055622732754</v>
      </c>
      <c r="AB16" s="6">
        <f>(L16/$AC$5)*'Equipe Técnica'!$C$13</f>
        <v>774.47804111245466</v>
      </c>
      <c r="AC16" s="6">
        <f>(M16/$AC$5)*'Equipe Técnica'!$C$13</f>
        <v>1358.9897702539297</v>
      </c>
      <c r="AD16" s="6">
        <f t="shared" si="12"/>
        <v>610.82999861049234</v>
      </c>
      <c r="AE16" s="6">
        <f t="shared" si="13"/>
        <v>725.57875798171347</v>
      </c>
      <c r="AF16" s="6">
        <f t="shared" si="14"/>
        <v>1050.7002428668407</v>
      </c>
      <c r="AG16" s="6">
        <f t="shared" si="15"/>
        <v>2098.6909720083158</v>
      </c>
      <c r="AI16" s="63" t="str">
        <f t="shared" si="16"/>
        <v>APS PORTO ALEGRE-PARTENON</v>
      </c>
      <c r="AJ16" s="74">
        <f>VLOOKUP(AI16,Unidades!D$5:H$27,5,)</f>
        <v>0.31269999999999998</v>
      </c>
      <c r="AK16" s="72">
        <f t="shared" si="17"/>
        <v>801.83653917599327</v>
      </c>
      <c r="AL16" s="72">
        <f t="shared" si="18"/>
        <v>952.46723560259522</v>
      </c>
      <c r="AM16" s="72">
        <f t="shared" si="19"/>
        <v>1379.2542088113016</v>
      </c>
      <c r="AN16" s="72">
        <f t="shared" si="20"/>
        <v>2754.951638955316</v>
      </c>
      <c r="AO16" s="72">
        <f t="shared" si="21"/>
        <v>1578.7806224250182</v>
      </c>
      <c r="AP16" s="72">
        <f t="shared" si="22"/>
        <v>4736.3418672750549</v>
      </c>
      <c r="AQ16" s="72">
        <f t="shared" si="23"/>
        <v>6315.1224897000729</v>
      </c>
      <c r="AR16" s="76"/>
      <c r="AS16" s="76"/>
      <c r="AT16" s="76"/>
      <c r="AU16" s="76"/>
      <c r="AV16" s="76"/>
      <c r="AW16" s="76"/>
    </row>
    <row r="17" spans="2:49" s="5" customFormat="1" ht="15" customHeight="1">
      <c r="B17" s="58" t="s">
        <v>230</v>
      </c>
      <c r="C17" s="59">
        <f>VLOOKUP($B17,Unidades!$D$5:$N$27,6,FALSE())</f>
        <v>398</v>
      </c>
      <c r="D17" s="59">
        <f>VLOOKUP($B17,Unidades!$D$5:$N$27,7,FALSE())</f>
        <v>350</v>
      </c>
      <c r="E17" s="59">
        <f>VLOOKUP($B17,Unidades!$D$5:$N$27,8,FALSE())</f>
        <v>48</v>
      </c>
      <c r="F17" s="59">
        <f>VLOOKUP($B17,Unidades!$D$5:$N$27,9,FALSE())</f>
        <v>0</v>
      </c>
      <c r="G17" s="59">
        <f t="shared" si="0"/>
        <v>366.8</v>
      </c>
      <c r="H17" s="60">
        <f t="shared" si="1"/>
        <v>1.5</v>
      </c>
      <c r="I17" s="60">
        <f t="shared" si="2"/>
        <v>1.7999999999999998</v>
      </c>
      <c r="J17" s="60" t="str">
        <f>VLOOKUP($B17,Unidades!$D$5:$N$27,10,FALSE())</f>
        <v>NÃO</v>
      </c>
      <c r="K17" s="60" t="str">
        <f>VLOOKUP($B17,Unidades!$D$5:$N$27,11,FALSE())</f>
        <v>SIM</v>
      </c>
      <c r="L17" s="60">
        <f t="shared" si="3"/>
        <v>1.6500000000000001</v>
      </c>
      <c r="M17" s="60">
        <f t="shared" ref="M17:M20" si="24">$M$6*H17+(IF(J17="SIM",$J$6,0))+(IF(K17="SIM",$K$6,0))</f>
        <v>5.65</v>
      </c>
      <c r="N17" s="60">
        <f t="shared" ref="N17:N20" si="25">H17*12+I17*4+L17*2+M17</f>
        <v>34.15</v>
      </c>
      <c r="O17" s="61">
        <f t="shared" si="6"/>
        <v>1712.7775000000001</v>
      </c>
      <c r="P17" s="32"/>
      <c r="Q17" s="63" t="str">
        <f t="shared" si="7"/>
        <v>APS PORTO ALEGRE-SUL</v>
      </c>
      <c r="R17" s="6">
        <f t="shared" si="8"/>
        <v>67.680000000000007</v>
      </c>
      <c r="S17" s="6">
        <f t="shared" si="9"/>
        <v>81.215999999999994</v>
      </c>
      <c r="T17" s="6">
        <f t="shared" si="10"/>
        <v>74.448000000000008</v>
      </c>
      <c r="U17" s="6">
        <f t="shared" si="11"/>
        <v>426.85750000000007</v>
      </c>
      <c r="V17" s="6">
        <f>VLOOKUP(Q17,'Desl. Base Porto Alegre'!$C$5:$S$18,13,FALSE())*($C$24+$D$24+$E$24*(VLOOKUP(Q17,'Desl. Base Porto Alegre'!$C$5:$S$18,17,FALSE())/12))</f>
        <v>25.416444444444448</v>
      </c>
      <c r="W17" s="6">
        <f>VLOOKUP(Q17,'Desl. Base Porto Alegre'!$C$5:$S$18,15,FALSE())*(2+(VLOOKUP(Q17,'Desl. Base Porto Alegre'!$C$5:$S$18,17,FALSE())/12))</f>
        <v>0</v>
      </c>
      <c r="X17" s="6">
        <f>VLOOKUP(Q17,'Desl. Base Porto Alegre'!$C$5:$Q$18,14,FALSE())</f>
        <v>0</v>
      </c>
      <c r="Y17" s="6">
        <f>VLOOKUP(Q17,'Desl. Base Porto Alegre'!$C$5:$Q$18,13,FALSE())*'Desl. Base Porto Alegre'!$E$23+'Desl. Base Porto Alegre'!$E$24*N17/12</f>
        <v>46.738541666666663</v>
      </c>
      <c r="Z17" s="6">
        <f>(H17/$AC$5)*'Equipe Técnica'!$C$13</f>
        <v>219.19189842805315</v>
      </c>
      <c r="AA17" s="6">
        <f>(I17/$AC$5)*'Equipe Técnica'!$C$13</f>
        <v>263.03027811366377</v>
      </c>
      <c r="AB17" s="6">
        <f>(L17/$AC$5)*'Equipe Técnica'!$C$13</f>
        <v>241.11108827085849</v>
      </c>
      <c r="AC17" s="6">
        <f>(M17/$AC$5)*'Equipe Técnica'!$C$13</f>
        <v>825.62281741233369</v>
      </c>
      <c r="AD17" s="6">
        <f t="shared" ref="AD17:AD20" si="26">R17+(($V17+$W17+$X17+$Y17)*12/19)+$Z17</f>
        <v>332.44346860349174</v>
      </c>
      <c r="AE17" s="6">
        <f t="shared" ref="AE17:AE20" si="27">S17+(($V17+$W17+$X17+$Y17)*12/19)+$AA17</f>
        <v>389.81784828910236</v>
      </c>
      <c r="AF17" s="6">
        <f t="shared" ref="AF17:AF20" si="28">T17+(($V17+$W17+$X17+$Y17)*12/19)+$AB17</f>
        <v>361.1306584462971</v>
      </c>
      <c r="AG17" s="6">
        <f t="shared" ref="AG17:AG20" si="29">U17+(($V17+$W17+$X17+$Y17)*12/19)+$AC17</f>
        <v>1298.0518875877724</v>
      </c>
      <c r="AI17" s="63" t="str">
        <f t="shared" si="16"/>
        <v>APS PORTO ALEGRE-SUL</v>
      </c>
      <c r="AJ17" s="74">
        <f>VLOOKUP(AI17,Unidades!D$5:H$27,5,)</f>
        <v>0.31269999999999998</v>
      </c>
      <c r="AK17" s="72">
        <f t="shared" si="17"/>
        <v>436.39854123580358</v>
      </c>
      <c r="AL17" s="72">
        <f t="shared" si="18"/>
        <v>511.71388944910467</v>
      </c>
      <c r="AM17" s="72">
        <f t="shared" si="19"/>
        <v>474.05621534245421</v>
      </c>
      <c r="AN17" s="72">
        <f t="shared" si="20"/>
        <v>1703.9527128364689</v>
      </c>
      <c r="AO17" s="72">
        <f t="shared" si="21"/>
        <v>827.97526634561984</v>
      </c>
      <c r="AP17" s="72">
        <f t="shared" si="22"/>
        <v>2483.9257990368596</v>
      </c>
      <c r="AQ17" s="72">
        <f t="shared" ref="AQ17:AQ20" si="30">AO17+AP17</f>
        <v>3311.9010653824794</v>
      </c>
      <c r="AR17" s="76"/>
      <c r="AS17" s="76"/>
      <c r="AT17" s="76"/>
      <c r="AU17" s="76"/>
      <c r="AV17" s="76"/>
      <c r="AW17" s="76"/>
    </row>
    <row r="18" spans="2:49" s="5" customFormat="1" ht="15" customHeight="1">
      <c r="B18" s="58" t="s">
        <v>232</v>
      </c>
      <c r="C18" s="59">
        <f>VLOOKUP($B18,Unidades!$D$5:$N$27,6,FALSE())</f>
        <v>3131</v>
      </c>
      <c r="D18" s="59">
        <f>VLOOKUP($B18,Unidades!$D$5:$N$27,7,FALSE())</f>
        <v>138</v>
      </c>
      <c r="E18" s="59">
        <f>VLOOKUP($B18,Unidades!$D$5:$N$27,8,FALSE())</f>
        <v>2993</v>
      </c>
      <c r="F18" s="59">
        <f>VLOOKUP($B18,Unidades!$D$5:$N$27,9,FALSE())</f>
        <v>0</v>
      </c>
      <c r="G18" s="59">
        <f t="shared" si="0"/>
        <v>1185.55</v>
      </c>
      <c r="H18" s="60">
        <f t="shared" si="1"/>
        <v>2</v>
      </c>
      <c r="I18" s="60">
        <f t="shared" si="2"/>
        <v>2.4</v>
      </c>
      <c r="J18" s="60" t="str">
        <f>VLOOKUP($B18,Unidades!$D$5:$N$27,10,FALSE())</f>
        <v>SIM</v>
      </c>
      <c r="K18" s="60" t="str">
        <f>VLOOKUP($B18,Unidades!$D$5:$N$27,11,FALSE())</f>
        <v>SIM</v>
      </c>
      <c r="L18" s="60">
        <f t="shared" si="3"/>
        <v>4.2</v>
      </c>
      <c r="M18" s="60">
        <f t="shared" si="24"/>
        <v>8.1999999999999993</v>
      </c>
      <c r="N18" s="60">
        <f t="shared" si="25"/>
        <v>50.2</v>
      </c>
      <c r="O18" s="61">
        <f t="shared" si="6"/>
        <v>2514.5500000000002</v>
      </c>
      <c r="P18" s="32"/>
      <c r="Q18" s="63" t="str">
        <f t="shared" si="7"/>
        <v>CEDOCPREV PORTO ALEGRE</v>
      </c>
      <c r="R18" s="6">
        <f t="shared" si="8"/>
        <v>90.240000000000009</v>
      </c>
      <c r="S18" s="6">
        <f t="shared" si="9"/>
        <v>108.28800000000001</v>
      </c>
      <c r="T18" s="6">
        <f t="shared" si="10"/>
        <v>189.50400000000002</v>
      </c>
      <c r="U18" s="6">
        <f t="shared" si="11"/>
        <v>619.51</v>
      </c>
      <c r="V18" s="6">
        <f>VLOOKUP(Q18,'Desl. Base Porto Alegre'!$C$5:$S$18,13,FALSE())*($C$24+$D$24+$E$24*(VLOOKUP(Q18,'Desl. Base Porto Alegre'!$C$5:$S$18,17,FALSE())/12))</f>
        <v>25.416444444444448</v>
      </c>
      <c r="W18" s="6">
        <f>VLOOKUP(Q18,'Desl. Base Porto Alegre'!$C$5:$S$18,15,FALSE())*(2+(VLOOKUP(Q18,'Desl. Base Porto Alegre'!$C$5:$S$18,17,FALSE())/12))</f>
        <v>0</v>
      </c>
      <c r="X18" s="6">
        <f>VLOOKUP(Q18,'Desl. Base Porto Alegre'!$C$5:$Q$18,14,FALSE())</f>
        <v>0</v>
      </c>
      <c r="Y18" s="6">
        <f>VLOOKUP(Q18,'Desl. Base Porto Alegre'!$C$5:$Q$18,13,FALSE())*'Desl. Base Porto Alegre'!$E$23+'Desl. Base Porto Alegre'!$E$24*N18/12</f>
        <v>56.034166666666664</v>
      </c>
      <c r="Z18" s="6">
        <f>(H18/$AC$5)*'Equipe Técnica'!$C$13</f>
        <v>292.25586457073757</v>
      </c>
      <c r="AA18" s="6">
        <f>(I18/$AC$5)*'Equipe Técnica'!$C$13</f>
        <v>350.70703748488506</v>
      </c>
      <c r="AB18" s="6">
        <f>(L18/$AC$5)*'Equipe Técnica'!$C$13</f>
        <v>613.73731559854889</v>
      </c>
      <c r="AC18" s="6">
        <f>(M18/$AC$5)*'Equipe Técnica'!$C$13</f>
        <v>1198.2490447400239</v>
      </c>
      <c r="AD18" s="6">
        <f t="shared" si="26"/>
        <v>433.93835579880772</v>
      </c>
      <c r="AE18" s="6">
        <f t="shared" si="27"/>
        <v>510.43752871295521</v>
      </c>
      <c r="AF18" s="6">
        <f t="shared" si="28"/>
        <v>854.68380682661905</v>
      </c>
      <c r="AG18" s="6">
        <f t="shared" si="29"/>
        <v>1869.201535968094</v>
      </c>
      <c r="AI18" s="63" t="str">
        <f t="shared" si="16"/>
        <v>CEDOCPREV PORTO ALEGRE</v>
      </c>
      <c r="AJ18" s="74">
        <f>VLOOKUP(AI18,Unidades!D$5:H$27,5,)</f>
        <v>0.31269999999999998</v>
      </c>
      <c r="AK18" s="72">
        <f t="shared" si="17"/>
        <v>569.63087965709485</v>
      </c>
      <c r="AL18" s="72">
        <f t="shared" si="18"/>
        <v>670.05134394149627</v>
      </c>
      <c r="AM18" s="72">
        <f t="shared" si="19"/>
        <v>1121.9434332213027</v>
      </c>
      <c r="AN18" s="72">
        <f t="shared" si="20"/>
        <v>2453.7008562653168</v>
      </c>
      <c r="AO18" s="72">
        <f t="shared" si="21"/>
        <v>1184.4469711965874</v>
      </c>
      <c r="AP18" s="72">
        <f t="shared" si="22"/>
        <v>3553.3409135897618</v>
      </c>
      <c r="AQ18" s="72">
        <f t="shared" si="30"/>
        <v>4737.7878847863494</v>
      </c>
      <c r="AR18" s="76"/>
      <c r="AS18" s="76"/>
      <c r="AT18" s="76"/>
      <c r="AU18" s="76"/>
      <c r="AV18" s="76"/>
      <c r="AW18" s="76"/>
    </row>
    <row r="19" spans="2:49" s="5" customFormat="1" ht="15" customHeight="1">
      <c r="B19" s="58" t="s">
        <v>234</v>
      </c>
      <c r="C19" s="59">
        <f>VLOOKUP($B19,Unidades!$D$5:$N$27,6,FALSE())</f>
        <v>18091</v>
      </c>
      <c r="D19" s="59">
        <f>VLOOKUP($B19,Unidades!$D$5:$N$27,7,FALSE())</f>
        <v>9045.5</v>
      </c>
      <c r="E19" s="59">
        <f>VLOOKUP($B19,Unidades!$D$5:$N$27,8,FALSE())</f>
        <v>2713.65</v>
      </c>
      <c r="F19" s="59">
        <f>VLOOKUP($B19,Unidades!$D$5:$N$27,9,FALSE())</f>
        <v>6331.85</v>
      </c>
      <c r="G19" s="59">
        <f t="shared" si="0"/>
        <v>10628.4625</v>
      </c>
      <c r="H19" s="60">
        <f t="shared" si="1"/>
        <v>3</v>
      </c>
      <c r="I19" s="60">
        <f t="shared" si="2"/>
        <v>3.5999999999999996</v>
      </c>
      <c r="J19" s="60" t="str">
        <f>VLOOKUP($B19,Unidades!$D$5:$N$27,10,FALSE())</f>
        <v>SIM</v>
      </c>
      <c r="K19" s="60" t="str">
        <f>VLOOKUP($B19,Unidades!$D$5:$N$27,11,FALSE())</f>
        <v>SIM</v>
      </c>
      <c r="L19" s="60">
        <f t="shared" si="3"/>
        <v>5.3000000000000007</v>
      </c>
      <c r="M19" s="60">
        <f t="shared" si="24"/>
        <v>9.3000000000000007</v>
      </c>
      <c r="N19" s="60">
        <f t="shared" si="25"/>
        <v>70.3</v>
      </c>
      <c r="O19" s="61">
        <f t="shared" si="6"/>
        <v>3454.9350000000004</v>
      </c>
      <c r="P19" s="32"/>
      <c r="Q19" s="63" t="str">
        <f t="shared" si="7"/>
        <v>GEX PORTO ALEGRE</v>
      </c>
      <c r="R19" s="6">
        <f t="shared" si="8"/>
        <v>135.36000000000001</v>
      </c>
      <c r="S19" s="6">
        <f t="shared" si="9"/>
        <v>162.43199999999999</v>
      </c>
      <c r="T19" s="6">
        <f t="shared" si="10"/>
        <v>239.13600000000005</v>
      </c>
      <c r="U19" s="6">
        <f t="shared" si="11"/>
        <v>702.61500000000012</v>
      </c>
      <c r="V19" s="6">
        <f>VLOOKUP(Q19,'Desl. Base Porto Alegre'!$C$5:$S$18,13,FALSE())*($C$24+$D$24+$E$24*(VLOOKUP(Q19,'Desl. Base Porto Alegre'!$C$5:$S$18,17,FALSE())/12))</f>
        <v>1.588527777777778</v>
      </c>
      <c r="W19" s="6">
        <f>VLOOKUP(Q19,'Desl. Base Porto Alegre'!$C$5:$S$18,15,FALSE())*(2+(VLOOKUP(Q19,'Desl. Base Porto Alegre'!$C$5:$S$18,17,FALSE())/12))</f>
        <v>0</v>
      </c>
      <c r="X19" s="6">
        <f>VLOOKUP(Q19,'Desl. Base Porto Alegre'!$C$5:$Q$18,14,FALSE())</f>
        <v>0</v>
      </c>
      <c r="Y19" s="6">
        <f>VLOOKUP(Q19,'Desl. Base Porto Alegre'!$C$5:$Q$18,13,FALSE())*'Desl. Base Porto Alegre'!$E$23+'Desl. Base Porto Alegre'!$E$24*N19/12</f>
        <v>42.400416666666665</v>
      </c>
      <c r="Z19" s="6">
        <f>(H19/$AC$5)*'Equipe Técnica'!$C$13</f>
        <v>438.3837968561063</v>
      </c>
      <c r="AA19" s="6">
        <f>(I19/$AC$5)*'Equipe Técnica'!$C$13</f>
        <v>526.06055622732754</v>
      </c>
      <c r="AB19" s="6">
        <f>(L19/$AC$5)*'Equipe Técnica'!$C$13</f>
        <v>774.47804111245466</v>
      </c>
      <c r="AC19" s="6">
        <f>(M19/$AC$5)*'Equipe Técnica'!$C$13</f>
        <v>1358.9897702539297</v>
      </c>
      <c r="AD19" s="6">
        <f t="shared" si="26"/>
        <v>601.52628808417649</v>
      </c>
      <c r="AE19" s="6">
        <f t="shared" si="27"/>
        <v>716.27504745539773</v>
      </c>
      <c r="AF19" s="6">
        <f t="shared" si="28"/>
        <v>1041.396532340525</v>
      </c>
      <c r="AG19" s="6">
        <f t="shared" si="29"/>
        <v>2089.3872614820002</v>
      </c>
      <c r="AI19" s="63" t="str">
        <f t="shared" si="16"/>
        <v>GEX PORTO ALEGRE</v>
      </c>
      <c r="AJ19" s="74">
        <f>VLOOKUP(AI19,Unidades!D$5:H$27,5,)</f>
        <v>0.31269999999999998</v>
      </c>
      <c r="AK19" s="72">
        <f t="shared" si="17"/>
        <v>789.62355836809843</v>
      </c>
      <c r="AL19" s="72">
        <f t="shared" si="18"/>
        <v>940.25425479470061</v>
      </c>
      <c r="AM19" s="72">
        <f t="shared" si="19"/>
        <v>1367.0412280034072</v>
      </c>
      <c r="AN19" s="72">
        <f t="shared" si="20"/>
        <v>2742.7386581474216</v>
      </c>
      <c r="AO19" s="72">
        <f t="shared" si="21"/>
        <v>1559.4434028125181</v>
      </c>
      <c r="AP19" s="72">
        <f t="shared" si="22"/>
        <v>4678.3302084375546</v>
      </c>
      <c r="AQ19" s="72">
        <f t="shared" si="30"/>
        <v>6237.7736112500725</v>
      </c>
      <c r="AR19" s="76"/>
      <c r="AS19" s="76"/>
      <c r="AT19" s="76"/>
      <c r="AU19" s="76"/>
      <c r="AV19" s="76"/>
      <c r="AW19" s="76"/>
    </row>
    <row r="20" spans="2:49" s="5" customFormat="1" ht="15" customHeight="1">
      <c r="B20" s="58" t="s">
        <v>236</v>
      </c>
      <c r="C20" s="59">
        <f>VLOOKUP($B20,Unidades!$D$5:$N$27,6,FALSE())</f>
        <v>7872</v>
      </c>
      <c r="D20" s="59">
        <f>VLOOKUP($B20,Unidades!$D$5:$N$27,7,FALSE())</f>
        <v>0</v>
      </c>
      <c r="E20" s="59">
        <f>VLOOKUP($B20,Unidades!$D$5:$N$27,8,FALSE())</f>
        <v>0</v>
      </c>
      <c r="F20" s="59">
        <f>VLOOKUP($B20,Unidades!$D$5:$N$27,9,FALSE())</f>
        <v>7872</v>
      </c>
      <c r="G20" s="59">
        <f t="shared" si="0"/>
        <v>787.2</v>
      </c>
      <c r="H20" s="60">
        <f t="shared" si="1"/>
        <v>2</v>
      </c>
      <c r="I20" s="60">
        <f t="shared" si="2"/>
        <v>2.4</v>
      </c>
      <c r="J20" s="60" t="str">
        <f>VLOOKUP($B20,Unidades!$D$5:$N$27,10,FALSE())</f>
        <v>NÃO</v>
      </c>
      <c r="K20" s="60" t="str">
        <f>VLOOKUP($B20,Unidades!$D$5:$N$27,11,FALSE())</f>
        <v>SIM</v>
      </c>
      <c r="L20" s="60">
        <f t="shared" si="3"/>
        <v>2.2000000000000002</v>
      </c>
      <c r="M20" s="60">
        <f t="shared" si="24"/>
        <v>6.2</v>
      </c>
      <c r="N20" s="60">
        <f t="shared" si="25"/>
        <v>44.2</v>
      </c>
      <c r="O20" s="61">
        <f t="shared" si="6"/>
        <v>2182.9700000000003</v>
      </c>
      <c r="P20" s="32"/>
      <c r="Q20" s="63" t="str">
        <f t="shared" si="7"/>
        <v>IPASE PORTO ALEGRE</v>
      </c>
      <c r="R20" s="6">
        <f t="shared" si="8"/>
        <v>90.240000000000009</v>
      </c>
      <c r="S20" s="6">
        <f t="shared" si="9"/>
        <v>108.28800000000001</v>
      </c>
      <c r="T20" s="6">
        <f t="shared" si="10"/>
        <v>99.264000000000024</v>
      </c>
      <c r="U20" s="6">
        <f t="shared" si="11"/>
        <v>468.41000000000008</v>
      </c>
      <c r="V20" s="6">
        <f>VLOOKUP(Q20,'Desl. Base Porto Alegre'!$C$5:$S$18,13,FALSE())*($C$24+$D$24+$E$24*(VLOOKUP(Q20,'Desl. Base Porto Alegre'!$C$5:$S$18,17,FALSE())/12))</f>
        <v>1.588527777777778</v>
      </c>
      <c r="W20" s="6">
        <f>VLOOKUP(Q20,'Desl. Base Porto Alegre'!$C$5:$S$18,15,FALSE())*(2+(VLOOKUP(Q20,'Desl. Base Porto Alegre'!$C$5:$S$18,17,FALSE())/12))</f>
        <v>0</v>
      </c>
      <c r="X20" s="6">
        <f>VLOOKUP(Q20,'Desl. Base Porto Alegre'!$C$5:$Q$18,14,FALSE())</f>
        <v>0</v>
      </c>
      <c r="Y20" s="6">
        <f>VLOOKUP(Q20,'Desl. Base Porto Alegre'!$C$5:$Q$18,13,FALSE())*'Desl. Base Porto Alegre'!$E$23+'Desl. Base Porto Alegre'!$E$24*N20/12</f>
        <v>27.284166666666671</v>
      </c>
      <c r="Z20" s="6">
        <f>(H20/$AC$5)*'Equipe Técnica'!$C$13</f>
        <v>292.25586457073757</v>
      </c>
      <c r="AA20" s="6">
        <f>(I20/$AC$5)*'Equipe Técnica'!$C$13</f>
        <v>350.70703748488506</v>
      </c>
      <c r="AB20" s="6">
        <f>(L20/$AC$5)*'Equipe Técnica'!$C$13</f>
        <v>321.48145102781137</v>
      </c>
      <c r="AC20" s="6">
        <f>(M20/$AC$5)*'Equipe Técnica'!$C$13</f>
        <v>905.99318016928635</v>
      </c>
      <c r="AD20" s="6">
        <f t="shared" si="26"/>
        <v>400.73125053564985</v>
      </c>
      <c r="AE20" s="6">
        <f t="shared" si="27"/>
        <v>477.23042344979734</v>
      </c>
      <c r="AF20" s="6">
        <f t="shared" si="28"/>
        <v>438.98083699272365</v>
      </c>
      <c r="AG20" s="6">
        <f t="shared" si="29"/>
        <v>1392.6385661341988</v>
      </c>
      <c r="AI20" s="63" t="str">
        <f t="shared" si="16"/>
        <v>IPASE PORTO ALEGRE</v>
      </c>
      <c r="AJ20" s="74">
        <f>VLOOKUP(AI20,Unidades!D$5:H$27,5,)</f>
        <v>0.31269999999999998</v>
      </c>
      <c r="AK20" s="72">
        <f t="shared" si="17"/>
        <v>526.03991257814755</v>
      </c>
      <c r="AL20" s="72">
        <f t="shared" si="18"/>
        <v>626.46037686254897</v>
      </c>
      <c r="AM20" s="72">
        <f t="shared" si="19"/>
        <v>576.25014472034832</v>
      </c>
      <c r="AN20" s="72">
        <f t="shared" si="20"/>
        <v>1828.1166457643626</v>
      </c>
      <c r="AO20" s="72">
        <f t="shared" si="21"/>
        <v>983.24478279941889</v>
      </c>
      <c r="AP20" s="72">
        <f t="shared" si="22"/>
        <v>2949.7343483982568</v>
      </c>
      <c r="AQ20" s="72">
        <f t="shared" si="30"/>
        <v>3932.9791311976755</v>
      </c>
      <c r="AR20" s="76"/>
      <c r="AS20" s="76"/>
      <c r="AT20" s="76"/>
      <c r="AU20" s="76"/>
      <c r="AV20" s="76"/>
      <c r="AW20" s="76"/>
    </row>
    <row r="21" spans="2:49" s="2" customFormat="1" ht="20.100000000000001" customHeight="1">
      <c r="B21" s="156" t="s">
        <v>79</v>
      </c>
      <c r="C21" s="91">
        <f t="shared" ref="C21:I21" si="31">SUM(C7:C20)</f>
        <v>53098.020000000004</v>
      </c>
      <c r="D21" s="91">
        <f t="shared" si="31"/>
        <v>19791.77</v>
      </c>
      <c r="E21" s="91">
        <f t="shared" si="31"/>
        <v>11793.789999999999</v>
      </c>
      <c r="F21" s="91">
        <f t="shared" si="31"/>
        <v>21512.46</v>
      </c>
      <c r="G21" s="91">
        <f t="shared" si="31"/>
        <v>26070.842499999999</v>
      </c>
      <c r="H21" s="92">
        <f t="shared" si="31"/>
        <v>28.5</v>
      </c>
      <c r="I21" s="92">
        <f t="shared" si="31"/>
        <v>34.199999999999996</v>
      </c>
      <c r="J21" s="92">
        <f>COUNTIF(J7:J20,"SIM")</f>
        <v>8</v>
      </c>
      <c r="K21" s="92">
        <f>COUNTIF(K7:K20,"SIM")</f>
        <v>11</v>
      </c>
      <c r="L21" s="92">
        <f>SUM(L7:L20)</f>
        <v>47.350000000000009</v>
      </c>
      <c r="M21" s="92">
        <f>SUM(M7:M20)</f>
        <v>91.35</v>
      </c>
      <c r="N21" s="92">
        <f>SUM(N7:N20)</f>
        <v>664.85</v>
      </c>
      <c r="O21" s="93">
        <f>SUM(O7:O20)</f>
        <v>32627.184000000005</v>
      </c>
      <c r="P21" s="35"/>
      <c r="Q21" s="92" t="s">
        <v>79</v>
      </c>
      <c r="R21" s="96">
        <f t="shared" ref="R21:AG21" si="32">SUM(R7:R20)</f>
        <v>1285.9200000000003</v>
      </c>
      <c r="S21" s="96">
        <f t="shared" si="32"/>
        <v>1543.104</v>
      </c>
      <c r="T21" s="96">
        <f t="shared" si="32"/>
        <v>2136.4320000000002</v>
      </c>
      <c r="U21" s="96">
        <f t="shared" si="32"/>
        <v>6750.8639999999996</v>
      </c>
      <c r="V21" s="96">
        <f t="shared" si="32"/>
        <v>294.6719027777778</v>
      </c>
      <c r="W21" s="96">
        <f t="shared" si="32"/>
        <v>0</v>
      </c>
      <c r="X21" s="96">
        <f t="shared" si="32"/>
        <v>0</v>
      </c>
      <c r="Y21" s="96">
        <f t="shared" si="32"/>
        <v>697.6264583333334</v>
      </c>
      <c r="Z21" s="96">
        <f t="shared" si="32"/>
        <v>4164.6460701330107</v>
      </c>
      <c r="AA21" s="96">
        <f t="shared" si="32"/>
        <v>4997.5752841596131</v>
      </c>
      <c r="AB21" s="96">
        <f t="shared" si="32"/>
        <v>6919.1575937122125</v>
      </c>
      <c r="AC21" s="96">
        <f t="shared" si="32"/>
        <v>13348.786614268434</v>
      </c>
      <c r="AD21" s="96">
        <f t="shared" si="32"/>
        <v>6077.2808245189754</v>
      </c>
      <c r="AE21" s="96">
        <f t="shared" si="32"/>
        <v>7167.3940385455762</v>
      </c>
      <c r="AF21" s="96">
        <f t="shared" si="32"/>
        <v>9682.3043480981778</v>
      </c>
      <c r="AG21" s="96">
        <f t="shared" si="32"/>
        <v>20726.365368654402</v>
      </c>
      <c r="AI21" s="256" t="s">
        <v>79</v>
      </c>
      <c r="AJ21" s="256"/>
      <c r="AK21" s="97">
        <f t="shared" ref="AK21:AQ21" si="33">SUM(AK7:AK20)</f>
        <v>7906.881388252973</v>
      </c>
      <c r="AL21" s="97">
        <f t="shared" si="33"/>
        <v>9325.5183878800563</v>
      </c>
      <c r="AM21" s="97">
        <f t="shared" si="33"/>
        <v>12602.112793585258</v>
      </c>
      <c r="AN21" s="97">
        <f t="shared" si="33"/>
        <v>26989.336456663852</v>
      </c>
      <c r="AO21" s="97">
        <f t="shared" si="33"/>
        <v>15364.851021199189</v>
      </c>
      <c r="AP21" s="97">
        <f t="shared" si="33"/>
        <v>46094.553063597559</v>
      </c>
      <c r="AQ21" s="97">
        <f t="shared" si="33"/>
        <v>61459.404084796755</v>
      </c>
    </row>
    <row r="22" spans="2:49" ht="18.399999999999999" customHeight="1">
      <c r="H22" s="36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27"/>
      <c r="AE22" s="27"/>
      <c r="AF22" s="27"/>
      <c r="AG22" s="27"/>
    </row>
    <row r="23" spans="2:49" ht="40.35" customHeight="1">
      <c r="B23" s="252" t="s">
        <v>23</v>
      </c>
      <c r="C23" s="88" t="s">
        <v>242</v>
      </c>
      <c r="D23" s="88" t="s">
        <v>243</v>
      </c>
      <c r="E23" s="88" t="s">
        <v>80</v>
      </c>
      <c r="R23" s="146"/>
      <c r="Z23" s="146"/>
      <c r="AA23" s="146"/>
      <c r="AB23" s="146"/>
      <c r="AC23" s="146"/>
    </row>
    <row r="24" spans="2:49" ht="18.399999999999999" customHeight="1">
      <c r="B24" s="252"/>
      <c r="C24" s="6">
        <f>'Comp. Oficial de Manutenção'!D11</f>
        <v>24.41</v>
      </c>
      <c r="D24" s="6">
        <v>20.71</v>
      </c>
      <c r="E24" s="6">
        <v>30.43</v>
      </c>
    </row>
    <row r="25" spans="2:49" ht="28.9" customHeight="1">
      <c r="B25" s="25" t="str">
        <f>'Equipe Técnica'!B9</f>
        <v>* Tabela SINAPI Outubro/2023 (Não Desonerado)</v>
      </c>
    </row>
    <row r="26" spans="2:49" ht="23.85" customHeight="1"/>
  </sheetData>
  <mergeCells count="44">
    <mergeCell ref="AT11:AU11"/>
    <mergeCell ref="AT12:AU12"/>
    <mergeCell ref="B23:B24"/>
    <mergeCell ref="AT13:AU13"/>
    <mergeCell ref="AT14:AU14"/>
    <mergeCell ref="AT15:AU15"/>
    <mergeCell ref="AI21:AJ21"/>
    <mergeCell ref="AO5:AO6"/>
    <mergeCell ref="AP5:AP6"/>
    <mergeCell ref="AQ5:AQ6"/>
    <mergeCell ref="AS5:AS6"/>
    <mergeCell ref="AT10:AU10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31"/>
  <sheetViews>
    <sheetView showGridLines="0" zoomScale="110" zoomScaleNormal="110" workbookViewId="0">
      <selection activeCell="R21" sqref="R21"/>
    </sheetView>
  </sheetViews>
  <sheetFormatPr defaultRowHeight="14.25"/>
  <cols>
    <col min="1" max="1" width="5.625" customWidth="1"/>
    <col min="2" max="2" width="12.625" style="38" customWidth="1"/>
    <col min="3" max="3" width="32.625" style="38" customWidth="1"/>
    <col min="4" max="13" width="9.625" style="38" customWidth="1"/>
    <col min="14" max="15" width="9.625" style="51" customWidth="1"/>
    <col min="16" max="17" width="9.625" style="38" customWidth="1"/>
    <col min="18" max="18" width="8.625" style="38" customWidth="1"/>
    <col min="19" max="19" width="15.25" style="38" customWidth="1"/>
    <col min="20" max="260" width="8.625" style="38" customWidth="1"/>
    <col min="261" max="1026" width="8.625" customWidth="1"/>
  </cols>
  <sheetData>
    <row r="1" spans="2:19" ht="15" customHeight="1"/>
    <row r="2" spans="2:19" ht="24.95" customHeight="1">
      <c r="B2" s="232" t="str">
        <f>"DESLOCAMENTO BASE "&amp;Resumo!B5</f>
        <v>DESLOCAMENTO BASE PORTO ALEGRE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4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81</v>
      </c>
      <c r="C4" s="10" t="str">
        <f>"Rota (saída e retorno "&amp;Resumo!B5&amp;")"</f>
        <v>Rota (saída e retorno PORTO ALEGRE)</v>
      </c>
      <c r="D4" s="10" t="s">
        <v>82</v>
      </c>
      <c r="E4" s="10" t="s">
        <v>83</v>
      </c>
      <c r="F4" s="10" t="s">
        <v>84</v>
      </c>
      <c r="G4" s="10" t="s">
        <v>85</v>
      </c>
      <c r="H4" s="10" t="s">
        <v>86</v>
      </c>
      <c r="I4" s="10" t="s">
        <v>87</v>
      </c>
      <c r="J4" s="10" t="s">
        <v>88</v>
      </c>
      <c r="K4" s="10" t="s">
        <v>89</v>
      </c>
      <c r="L4" s="10" t="s">
        <v>90</v>
      </c>
      <c r="M4" s="39" t="s">
        <v>91</v>
      </c>
      <c r="N4" s="10" t="s">
        <v>92</v>
      </c>
      <c r="O4" s="10" t="s">
        <v>93</v>
      </c>
      <c r="P4" s="10" t="s">
        <v>94</v>
      </c>
      <c r="Q4" s="10" t="s">
        <v>59</v>
      </c>
      <c r="R4" s="203" t="s">
        <v>288</v>
      </c>
      <c r="S4" s="203" t="s">
        <v>289</v>
      </c>
    </row>
    <row r="5" spans="2:19" ht="15.95" customHeight="1">
      <c r="B5" s="266">
        <v>1</v>
      </c>
      <c r="C5" s="166" t="s">
        <v>234</v>
      </c>
      <c r="D5" s="258">
        <v>2</v>
      </c>
      <c r="E5" s="258">
        <v>2</v>
      </c>
      <c r="F5" s="258">
        <v>0</v>
      </c>
      <c r="G5" s="259">
        <f>SUM(D5:F6)</f>
        <v>4</v>
      </c>
      <c r="H5" s="260">
        <v>2</v>
      </c>
      <c r="I5" s="260">
        <v>2</v>
      </c>
      <c r="J5" s="260">
        <v>0</v>
      </c>
      <c r="K5" s="261">
        <f>SUM(H5:J6)</f>
        <v>4</v>
      </c>
      <c r="L5" s="262">
        <f>K5/60</f>
        <v>6.6666666666666666E-2</v>
      </c>
      <c r="M5" s="264">
        <v>0</v>
      </c>
      <c r="N5" s="265">
        <v>2</v>
      </c>
      <c r="O5" s="157">
        <f>L5/N5</f>
        <v>3.3333333333333333E-2</v>
      </c>
      <c r="P5" s="40">
        <v>0</v>
      </c>
      <c r="Q5" s="40">
        <v>0</v>
      </c>
      <c r="R5" s="204" t="str">
        <f>INDEX('Base Porto Alegre'!$K$7:$K$20,MATCH('Desl. Base Porto Alegre'!C5,'Base Porto Alegre'!$B$7:$B$20,0))</f>
        <v>SIM</v>
      </c>
      <c r="S5" s="204">
        <v>1</v>
      </c>
    </row>
    <row r="6" spans="2:19" ht="15.95" customHeight="1">
      <c r="B6" s="267"/>
      <c r="C6" s="166" t="s">
        <v>236</v>
      </c>
      <c r="D6" s="258"/>
      <c r="E6" s="258"/>
      <c r="F6" s="258"/>
      <c r="G6" s="259"/>
      <c r="H6" s="260"/>
      <c r="I6" s="260"/>
      <c r="J6" s="260"/>
      <c r="K6" s="261"/>
      <c r="L6" s="263"/>
      <c r="M6" s="264"/>
      <c r="N6" s="265"/>
      <c r="O6" s="157">
        <f>O5</f>
        <v>3.3333333333333333E-2</v>
      </c>
      <c r="P6" s="40">
        <v>0</v>
      </c>
      <c r="Q6" s="40">
        <v>0</v>
      </c>
      <c r="R6" s="204" t="str">
        <f>INDEX('Base Porto Alegre'!$K$7:$K$20,MATCH('Desl. Base Porto Alegre'!C6,'Base Porto Alegre'!$B$7:$B$20,0))</f>
        <v>SIM</v>
      </c>
      <c r="S6" s="204">
        <v>1</v>
      </c>
    </row>
    <row r="7" spans="2:19" ht="15.95" customHeight="1">
      <c r="B7" s="257">
        <v>2</v>
      </c>
      <c r="C7" s="166" t="s">
        <v>226</v>
      </c>
      <c r="D7" s="258">
        <v>0.45</v>
      </c>
      <c r="E7" s="258">
        <v>3.6</v>
      </c>
      <c r="F7" s="258">
        <v>4.5</v>
      </c>
      <c r="G7" s="259">
        <f>SUM(D7:F8)</f>
        <v>8.5500000000000007</v>
      </c>
      <c r="H7" s="260">
        <v>2</v>
      </c>
      <c r="I7" s="260">
        <v>11</v>
      </c>
      <c r="J7" s="260">
        <v>9</v>
      </c>
      <c r="K7" s="261">
        <f>SUM(H7:J8)</f>
        <v>22</v>
      </c>
      <c r="L7" s="262">
        <f>K7/60</f>
        <v>0.36666666666666664</v>
      </c>
      <c r="M7" s="264">
        <v>0</v>
      </c>
      <c r="N7" s="265">
        <v>2</v>
      </c>
      <c r="O7" s="157">
        <f>L7/N7</f>
        <v>0.18333333333333332</v>
      </c>
      <c r="P7" s="40">
        <v>0</v>
      </c>
      <c r="Q7" s="40">
        <v>0</v>
      </c>
      <c r="R7" s="204" t="str">
        <f>INDEX('Base Porto Alegre'!$K$7:$K$20,MATCH('Desl. Base Porto Alegre'!C7,'Base Porto Alegre'!$B$7:$B$20,0))</f>
        <v>SIM</v>
      </c>
      <c r="S7" s="204">
        <v>1</v>
      </c>
    </row>
    <row r="8" spans="2:19" ht="15.95" customHeight="1">
      <c r="B8" s="257"/>
      <c r="C8" s="166" t="s">
        <v>228</v>
      </c>
      <c r="D8" s="258"/>
      <c r="E8" s="258"/>
      <c r="F8" s="258"/>
      <c r="G8" s="259"/>
      <c r="H8" s="260"/>
      <c r="I8" s="260"/>
      <c r="J8" s="260"/>
      <c r="K8" s="261"/>
      <c r="L8" s="263"/>
      <c r="M8" s="264"/>
      <c r="N8" s="265"/>
      <c r="O8" s="157">
        <f>O7</f>
        <v>0.18333333333333332</v>
      </c>
      <c r="P8" s="40">
        <v>0</v>
      </c>
      <c r="Q8" s="40">
        <v>0</v>
      </c>
      <c r="R8" s="204" t="str">
        <f>INDEX('Base Porto Alegre'!$K$7:$K$20,MATCH('Desl. Base Porto Alegre'!C8,'Base Porto Alegre'!$B$7:$B$20,0))</f>
        <v>SIM</v>
      </c>
      <c r="S8" s="204">
        <v>1</v>
      </c>
    </row>
    <row r="9" spans="2:19" ht="15.95" customHeight="1">
      <c r="B9" s="266">
        <v>3</v>
      </c>
      <c r="C9" s="166" t="s">
        <v>230</v>
      </c>
      <c r="D9" s="258">
        <v>11.5</v>
      </c>
      <c r="E9" s="258">
        <f>25.1-11.5</f>
        <v>13.600000000000001</v>
      </c>
      <c r="F9" s="258">
        <v>6.4</v>
      </c>
      <c r="G9" s="259">
        <f t="shared" ref="G9" si="0">SUM(D9:F10)</f>
        <v>31.5</v>
      </c>
      <c r="H9" s="260">
        <v>20</v>
      </c>
      <c r="I9" s="260">
        <v>30</v>
      </c>
      <c r="J9" s="260">
        <v>14</v>
      </c>
      <c r="K9" s="261">
        <f t="shared" ref="K9" si="1">SUM(H9:J10)</f>
        <v>64</v>
      </c>
      <c r="L9" s="262">
        <f t="shared" ref="L9" si="2">K9/60</f>
        <v>1.0666666666666667</v>
      </c>
      <c r="M9" s="264">
        <v>0</v>
      </c>
      <c r="N9" s="265">
        <v>2</v>
      </c>
      <c r="O9" s="157">
        <f>L9/N9</f>
        <v>0.53333333333333333</v>
      </c>
      <c r="P9" s="40">
        <v>0</v>
      </c>
      <c r="Q9" s="40">
        <v>0</v>
      </c>
      <c r="R9" s="204" t="str">
        <f>INDEX('Base Porto Alegre'!$K$7:$K$20,MATCH('Desl. Base Porto Alegre'!C9,'Base Porto Alegre'!$B$7:$B$20,0))</f>
        <v>SIM</v>
      </c>
      <c r="S9" s="204">
        <v>1</v>
      </c>
    </row>
    <row r="10" spans="2:19" ht="15.95" customHeight="1">
      <c r="B10" s="267"/>
      <c r="C10" s="166" t="s">
        <v>232</v>
      </c>
      <c r="D10" s="258"/>
      <c r="E10" s="258"/>
      <c r="F10" s="258"/>
      <c r="G10" s="259"/>
      <c r="H10" s="260"/>
      <c r="I10" s="260"/>
      <c r="J10" s="260"/>
      <c r="K10" s="261"/>
      <c r="L10" s="263"/>
      <c r="M10" s="264">
        <v>0</v>
      </c>
      <c r="N10" s="265"/>
      <c r="O10" s="157">
        <f>O9</f>
        <v>0.53333333333333333</v>
      </c>
      <c r="P10" s="40">
        <v>0</v>
      </c>
      <c r="Q10" s="40">
        <v>0</v>
      </c>
      <c r="R10" s="204" t="str">
        <f>INDEX('Base Porto Alegre'!$K$7:$K$20,MATCH('Desl. Base Porto Alegre'!C10,'Base Porto Alegre'!$B$7:$B$20,0))</f>
        <v>SIM</v>
      </c>
      <c r="S10" s="204">
        <v>1</v>
      </c>
    </row>
    <row r="11" spans="2:19" ht="15.95" customHeight="1">
      <c r="B11" s="257">
        <v>4</v>
      </c>
      <c r="C11" s="166" t="s">
        <v>200</v>
      </c>
      <c r="D11" s="258">
        <v>13</v>
      </c>
      <c r="E11" s="258">
        <v>5.5</v>
      </c>
      <c r="F11" s="258">
        <v>16.600000000000001</v>
      </c>
      <c r="G11" s="259">
        <f t="shared" ref="G11" si="3">SUM(D11:F12)</f>
        <v>35.1</v>
      </c>
      <c r="H11" s="260">
        <v>16</v>
      </c>
      <c r="I11" s="260">
        <v>11</v>
      </c>
      <c r="J11" s="260">
        <v>20</v>
      </c>
      <c r="K11" s="261">
        <f t="shared" ref="K11" si="4">SUM(H11:J12)</f>
        <v>47</v>
      </c>
      <c r="L11" s="262">
        <f t="shared" ref="L11" si="5">K11/60</f>
        <v>0.78333333333333333</v>
      </c>
      <c r="M11" s="264">
        <v>0</v>
      </c>
      <c r="N11" s="265">
        <v>2</v>
      </c>
      <c r="O11" s="157">
        <f>L11/N11</f>
        <v>0.39166666666666666</v>
      </c>
      <c r="P11" s="40">
        <v>0</v>
      </c>
      <c r="Q11" s="40">
        <v>0</v>
      </c>
      <c r="R11" s="204" t="str">
        <f>INDEX('Base Porto Alegre'!$K$7:$K$20,MATCH('Desl. Base Porto Alegre'!C11,'Base Porto Alegre'!$B$7:$B$20,0))</f>
        <v>NÃO</v>
      </c>
      <c r="S11" s="204">
        <v>1</v>
      </c>
    </row>
    <row r="12" spans="2:19" ht="15.95" customHeight="1">
      <c r="B12" s="257"/>
      <c r="C12" s="166" t="s">
        <v>204</v>
      </c>
      <c r="D12" s="258"/>
      <c r="E12" s="258"/>
      <c r="F12" s="258"/>
      <c r="G12" s="259"/>
      <c r="H12" s="260"/>
      <c r="I12" s="260"/>
      <c r="J12" s="260"/>
      <c r="K12" s="261"/>
      <c r="L12" s="263"/>
      <c r="M12" s="264"/>
      <c r="N12" s="265"/>
      <c r="O12" s="157">
        <f>O11</f>
        <v>0.39166666666666666</v>
      </c>
      <c r="P12" s="40">
        <v>0</v>
      </c>
      <c r="Q12" s="40">
        <v>0</v>
      </c>
      <c r="R12" s="204" t="str">
        <f>INDEX('Base Porto Alegre'!$K$7:$K$20,MATCH('Desl. Base Porto Alegre'!C12,'Base Porto Alegre'!$B$7:$B$20,0))</f>
        <v>SIM</v>
      </c>
      <c r="S12" s="204">
        <v>1</v>
      </c>
    </row>
    <row r="13" spans="2:19" ht="15.95" customHeight="1">
      <c r="B13" s="266">
        <v>5</v>
      </c>
      <c r="C13" s="166" t="s">
        <v>194</v>
      </c>
      <c r="D13" s="258">
        <v>27.3</v>
      </c>
      <c r="E13" s="258">
        <v>2.2000000000000002</v>
      </c>
      <c r="F13" s="258">
        <v>32.5</v>
      </c>
      <c r="G13" s="259">
        <f t="shared" ref="G13" si="6">SUM(D13:F14)</f>
        <v>62</v>
      </c>
      <c r="H13" s="260">
        <v>27</v>
      </c>
      <c r="I13" s="260">
        <v>7</v>
      </c>
      <c r="J13" s="260">
        <v>28</v>
      </c>
      <c r="K13" s="261">
        <f t="shared" ref="K13" si="7">SUM(H13:J14)</f>
        <v>62</v>
      </c>
      <c r="L13" s="262">
        <f t="shared" ref="L13" si="8">K13/60</f>
        <v>1.0333333333333334</v>
      </c>
      <c r="M13" s="264">
        <v>0</v>
      </c>
      <c r="N13" s="265">
        <v>2</v>
      </c>
      <c r="O13" s="157">
        <f>L13/N13</f>
        <v>0.51666666666666672</v>
      </c>
      <c r="P13" s="40">
        <v>0</v>
      </c>
      <c r="Q13" s="40">
        <v>0</v>
      </c>
      <c r="R13" s="204" t="str">
        <f>INDEX('Base Porto Alegre'!$K$7:$K$20,MATCH('Desl. Base Porto Alegre'!C13,'Base Porto Alegre'!$B$7:$B$20,0))</f>
        <v>SIM</v>
      </c>
      <c r="S13" s="204">
        <v>1</v>
      </c>
    </row>
    <row r="14" spans="2:19" ht="15.95" customHeight="1">
      <c r="B14" s="267"/>
      <c r="C14" s="166" t="s">
        <v>202</v>
      </c>
      <c r="D14" s="258"/>
      <c r="E14" s="258"/>
      <c r="F14" s="258"/>
      <c r="G14" s="259"/>
      <c r="H14" s="260"/>
      <c r="I14" s="260"/>
      <c r="J14" s="260"/>
      <c r="K14" s="261"/>
      <c r="L14" s="263"/>
      <c r="M14" s="264"/>
      <c r="N14" s="265"/>
      <c r="O14" s="157">
        <f>O13</f>
        <v>0.51666666666666672</v>
      </c>
      <c r="P14" s="40">
        <v>0</v>
      </c>
      <c r="Q14" s="40">
        <v>0</v>
      </c>
      <c r="R14" s="204" t="str">
        <f>INDEX('Base Porto Alegre'!$K$7:$K$20,MATCH('Desl. Base Porto Alegre'!C14,'Base Porto Alegre'!$B$7:$B$20,0))</f>
        <v>NÃO</v>
      </c>
      <c r="S14" s="204">
        <v>1</v>
      </c>
    </row>
    <row r="15" spans="2:19" ht="15.95" customHeight="1">
      <c r="B15" s="266">
        <v>6</v>
      </c>
      <c r="C15" s="166" t="s">
        <v>192</v>
      </c>
      <c r="D15" s="258">
        <v>18.399999999999999</v>
      </c>
      <c r="E15" s="258">
        <v>12</v>
      </c>
      <c r="F15" s="258">
        <v>30.7</v>
      </c>
      <c r="G15" s="259">
        <f t="shared" ref="G15" si="9">SUM(D15:F16)</f>
        <v>61.099999999999994</v>
      </c>
      <c r="H15" s="260">
        <v>19</v>
      </c>
      <c r="I15" s="260">
        <v>12</v>
      </c>
      <c r="J15" s="260">
        <v>29</v>
      </c>
      <c r="K15" s="261">
        <f t="shared" ref="K15" si="10">SUM(H15:J16)</f>
        <v>60</v>
      </c>
      <c r="L15" s="262">
        <f t="shared" ref="L15" si="11">K15/60</f>
        <v>1</v>
      </c>
      <c r="M15" s="264">
        <v>0</v>
      </c>
      <c r="N15" s="265">
        <v>2</v>
      </c>
      <c r="O15" s="157">
        <f>L15/N15</f>
        <v>0.5</v>
      </c>
      <c r="P15" s="40">
        <v>0</v>
      </c>
      <c r="Q15" s="40">
        <v>0</v>
      </c>
      <c r="R15" s="204" t="str">
        <f>INDEX('Base Porto Alegre'!$K$7:$K$20,MATCH('Desl. Base Porto Alegre'!C15,'Base Porto Alegre'!$B$7:$B$20,0))</f>
        <v>SIM</v>
      </c>
      <c r="S15" s="204">
        <v>1</v>
      </c>
    </row>
    <row r="16" spans="2:19" ht="15.95" customHeight="1">
      <c r="B16" s="267"/>
      <c r="C16" s="166" t="s">
        <v>196</v>
      </c>
      <c r="D16" s="258"/>
      <c r="E16" s="258"/>
      <c r="F16" s="258"/>
      <c r="G16" s="259"/>
      <c r="H16" s="260"/>
      <c r="I16" s="260"/>
      <c r="J16" s="260"/>
      <c r="K16" s="261"/>
      <c r="L16" s="263"/>
      <c r="M16" s="264"/>
      <c r="N16" s="265"/>
      <c r="O16" s="157">
        <f>O15</f>
        <v>0.5</v>
      </c>
      <c r="P16" s="40">
        <v>0</v>
      </c>
      <c r="Q16" s="40">
        <v>0</v>
      </c>
      <c r="R16" s="204" t="str">
        <f>INDEX('Base Porto Alegre'!$K$7:$K$20,MATCH('Desl. Base Porto Alegre'!C16,'Base Porto Alegre'!$B$7:$B$20,0))</f>
        <v>SIM</v>
      </c>
      <c r="S16" s="204">
        <v>1</v>
      </c>
    </row>
    <row r="17" spans="2:19" ht="15.95" customHeight="1">
      <c r="B17" s="266">
        <v>7</v>
      </c>
      <c r="C17" s="166" t="s">
        <v>198</v>
      </c>
      <c r="D17" s="258">
        <v>30.8</v>
      </c>
      <c r="E17" s="258">
        <f>75.3-D17</f>
        <v>44.5</v>
      </c>
      <c r="F17" s="258">
        <v>24.3</v>
      </c>
      <c r="G17" s="259">
        <f t="shared" ref="G17" si="12">SUM(D17:F18)</f>
        <v>99.6</v>
      </c>
      <c r="H17" s="260">
        <v>29</v>
      </c>
      <c r="I17" s="260">
        <f>83-H17</f>
        <v>54</v>
      </c>
      <c r="J17" s="260">
        <v>29</v>
      </c>
      <c r="K17" s="261">
        <f t="shared" ref="K17" si="13">SUM(H17:J18)</f>
        <v>112</v>
      </c>
      <c r="L17" s="262">
        <f t="shared" ref="L17" si="14">K17/60</f>
        <v>1.8666666666666667</v>
      </c>
      <c r="M17" s="264">
        <v>0</v>
      </c>
      <c r="N17" s="265">
        <v>2</v>
      </c>
      <c r="O17" s="157">
        <f t="shared" ref="O17" si="15">L17/N17</f>
        <v>0.93333333333333335</v>
      </c>
      <c r="P17" s="40">
        <v>0</v>
      </c>
      <c r="Q17" s="40">
        <v>0</v>
      </c>
      <c r="R17" s="204" t="str">
        <f>INDEX('Base Porto Alegre'!$K$7:$K$20,MATCH('Desl. Base Porto Alegre'!C17,'Base Porto Alegre'!$B$7:$B$20,0))</f>
        <v>SIM</v>
      </c>
      <c r="S17" s="204">
        <v>1</v>
      </c>
    </row>
    <row r="18" spans="2:19" ht="15.95" customHeight="1">
      <c r="B18" s="267"/>
      <c r="C18" s="166" t="s">
        <v>224</v>
      </c>
      <c r="D18" s="258"/>
      <c r="E18" s="258"/>
      <c r="F18" s="258"/>
      <c r="G18" s="259"/>
      <c r="H18" s="260"/>
      <c r="I18" s="260"/>
      <c r="J18" s="260"/>
      <c r="K18" s="261"/>
      <c r="L18" s="263"/>
      <c r="M18" s="264"/>
      <c r="N18" s="265"/>
      <c r="O18" s="157">
        <f>O17</f>
        <v>0.93333333333333335</v>
      </c>
      <c r="P18" s="40">
        <v>0</v>
      </c>
      <c r="Q18" s="40">
        <v>0</v>
      </c>
      <c r="R18" s="204" t="str">
        <f>INDEX('Base Porto Alegre'!$K$7:$K$20,MATCH('Desl. Base Porto Alegre'!C18,'Base Porto Alegre'!$B$7:$B$20,0))</f>
        <v>NÃO</v>
      </c>
      <c r="S18" s="204">
        <v>1</v>
      </c>
    </row>
    <row r="19" spans="2:19" ht="20.100000000000001" customHeight="1">
      <c r="B19" s="271" t="s">
        <v>79</v>
      </c>
      <c r="C19" s="272"/>
      <c r="D19" s="272"/>
      <c r="E19" s="272"/>
      <c r="F19" s="273"/>
      <c r="G19" s="162">
        <f>SUM(G5:G18)</f>
        <v>301.85000000000002</v>
      </c>
      <c r="H19" s="274" t="s">
        <v>79</v>
      </c>
      <c r="I19" s="274"/>
      <c r="J19" s="274"/>
      <c r="K19" s="105">
        <f>SUM(K5:K18)</f>
        <v>371</v>
      </c>
      <c r="L19" s="106">
        <f>SUM(L5:L18)</f>
        <v>6.1833333333333336</v>
      </c>
      <c r="M19" s="104">
        <f>SUM(M5:M18)</f>
        <v>0</v>
      </c>
      <c r="N19" s="107">
        <f>SUM(N5:N18)</f>
        <v>14</v>
      </c>
      <c r="O19" s="106"/>
      <c r="P19" s="104"/>
      <c r="Q19" s="104">
        <f>SUM(Q5:Q18)</f>
        <v>0</v>
      </c>
      <c r="R19" s="104"/>
      <c r="S19" s="104"/>
    </row>
    <row r="20" spans="2:19" ht="17.100000000000001" customHeight="1">
      <c r="B20" s="42"/>
      <c r="C20" s="42"/>
      <c r="D20" s="42"/>
      <c r="E20" s="42"/>
      <c r="F20" s="42"/>
    </row>
    <row r="21" spans="2:19" ht="18.75" customHeight="1">
      <c r="B21" s="275" t="s">
        <v>95</v>
      </c>
      <c r="C21" s="275"/>
      <c r="D21" s="275"/>
      <c r="E21" s="275"/>
      <c r="F21" s="42"/>
      <c r="G21" s="42"/>
      <c r="H21" s="42"/>
      <c r="I21" s="42"/>
      <c r="J21" s="42"/>
      <c r="K21" s="42"/>
      <c r="L21" s="42"/>
      <c r="M21" s="42"/>
      <c r="N21" s="44"/>
      <c r="O21" s="44"/>
    </row>
    <row r="22" spans="2:19" ht="18.75" customHeight="1">
      <c r="B22" s="116" t="s">
        <v>96</v>
      </c>
      <c r="C22" s="116" t="s">
        <v>97</v>
      </c>
      <c r="D22" s="116" t="s">
        <v>98</v>
      </c>
      <c r="E22" s="116" t="s">
        <v>99</v>
      </c>
      <c r="F22" s="42"/>
      <c r="G22" s="42"/>
      <c r="H22" s="44"/>
      <c r="I22" s="44"/>
      <c r="J22" s="42"/>
      <c r="K22" s="42"/>
      <c r="L22" s="42"/>
      <c r="M22" s="42"/>
      <c r="N22" s="44"/>
      <c r="O22" s="44"/>
    </row>
    <row r="23" spans="2:19" ht="18.75" customHeight="1">
      <c r="B23" s="109" t="s">
        <v>100</v>
      </c>
      <c r="C23" s="108" t="s">
        <v>101</v>
      </c>
      <c r="D23" s="109" t="s">
        <v>102</v>
      </c>
      <c r="E23" s="110">
        <f>'Comp. Veículo'!D11</f>
        <v>50.55</v>
      </c>
      <c r="F23" s="42"/>
      <c r="G23" s="42"/>
      <c r="H23" s="45"/>
      <c r="I23" s="45"/>
      <c r="J23" s="42"/>
      <c r="K23" s="42"/>
      <c r="L23" s="42"/>
      <c r="M23" s="42"/>
      <c r="N23" s="44"/>
      <c r="O23" s="44"/>
    </row>
    <row r="24" spans="2:19" ht="18.75" customHeight="1">
      <c r="B24" s="113" t="s">
        <v>103</v>
      </c>
      <c r="C24" s="114" t="s">
        <v>101</v>
      </c>
      <c r="D24" s="113" t="s">
        <v>104</v>
      </c>
      <c r="E24" s="115">
        <f>'Comp. Veículo'!D27</f>
        <v>6.95</v>
      </c>
      <c r="F24" s="42"/>
      <c r="G24" s="42"/>
      <c r="H24" s="45"/>
      <c r="I24" s="45"/>
      <c r="J24" s="42"/>
      <c r="K24" s="42"/>
      <c r="L24" s="42"/>
      <c r="M24" s="42"/>
      <c r="N24" s="44"/>
      <c r="O24" s="44"/>
    </row>
    <row r="25" spans="2:19" ht="47.25" customHeight="1">
      <c r="B25" s="268" t="s">
        <v>105</v>
      </c>
      <c r="C25" s="268"/>
      <c r="D25" s="268"/>
      <c r="E25" s="268"/>
      <c r="F25" s="112"/>
      <c r="G25" s="112"/>
      <c r="H25" s="112"/>
      <c r="I25" s="112"/>
      <c r="J25" s="112"/>
      <c r="K25" s="112"/>
      <c r="L25" s="112"/>
      <c r="M25" s="42"/>
      <c r="N25" s="44"/>
      <c r="O25" s="44"/>
    </row>
    <row r="26" spans="2:19" ht="16.5" customHeight="1">
      <c r="B26" s="64"/>
      <c r="C26" s="64"/>
      <c r="D26" s="64"/>
      <c r="E26" s="64"/>
      <c r="F26" s="112"/>
      <c r="G26" s="112"/>
      <c r="H26" s="112"/>
      <c r="I26" s="112"/>
      <c r="J26" s="112"/>
      <c r="K26" s="112"/>
      <c r="L26" s="112"/>
      <c r="M26" s="42"/>
      <c r="N26" s="44"/>
      <c r="O26" s="44"/>
    </row>
    <row r="27" spans="2:19" ht="17.100000000000001" customHeight="1">
      <c r="B27" s="269" t="s">
        <v>106</v>
      </c>
      <c r="C27" s="270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4"/>
      <c r="O27" s="44"/>
    </row>
    <row r="28" spans="2:19" ht="17.100000000000001" customHeight="1">
      <c r="B28" s="109" t="s">
        <v>102</v>
      </c>
      <c r="C28" s="110">
        <f>E23*L19</f>
        <v>312.5675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4"/>
      <c r="O28" s="44"/>
    </row>
    <row r="29" spans="2:19" ht="17.100000000000001" customHeight="1">
      <c r="B29" s="109" t="s">
        <v>104</v>
      </c>
      <c r="C29" s="110">
        <f>E24*('Base Porto Alegre'!N21/12)</f>
        <v>385.05895833333335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4"/>
      <c r="O29" s="44"/>
    </row>
    <row r="30" spans="2:19" ht="17.100000000000001" customHeight="1">
      <c r="B30" s="118" t="s">
        <v>21</v>
      </c>
      <c r="C30" s="117">
        <f>C28+C29</f>
        <v>697.6264583333334</v>
      </c>
      <c r="D30" s="42"/>
      <c r="E30" s="42"/>
      <c r="F30" s="42"/>
      <c r="G30" s="42"/>
      <c r="H30" s="42"/>
      <c r="I30" s="42"/>
      <c r="M30" s="42"/>
      <c r="N30" s="44"/>
      <c r="O30" s="44"/>
    </row>
    <row r="31" spans="2:19" ht="17.100000000000001" customHeight="1">
      <c r="B31" s="42"/>
      <c r="C31" s="46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4"/>
      <c r="O31" s="44"/>
    </row>
  </sheetData>
  <mergeCells count="90">
    <mergeCell ref="M15:M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H15:H16"/>
    <mergeCell ref="I15:I16"/>
    <mergeCell ref="J15:J16"/>
    <mergeCell ref="K15:K16"/>
    <mergeCell ref="L15:L16"/>
    <mergeCell ref="B15:B16"/>
    <mergeCell ref="D15:D16"/>
    <mergeCell ref="E15:E16"/>
    <mergeCell ref="F15:F16"/>
    <mergeCell ref="G15:G16"/>
    <mergeCell ref="K5:K6"/>
    <mergeCell ref="L5:L6"/>
    <mergeCell ref="M5:M6"/>
    <mergeCell ref="N5:N6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F5:F6"/>
    <mergeCell ref="G5:G6"/>
    <mergeCell ref="H5:H6"/>
    <mergeCell ref="I5:I6"/>
    <mergeCell ref="J5:J6"/>
    <mergeCell ref="B25:E25"/>
    <mergeCell ref="B27:C27"/>
    <mergeCell ref="B19:F19"/>
    <mergeCell ref="H19:J19"/>
    <mergeCell ref="B21:E21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H9:H10"/>
    <mergeCell ref="I9:I10"/>
    <mergeCell ref="J9:J10"/>
    <mergeCell ref="K9:K10"/>
    <mergeCell ref="L9:L10"/>
    <mergeCell ref="B9:B10"/>
    <mergeCell ref="D9:D10"/>
    <mergeCell ref="E9:E10"/>
    <mergeCell ref="F9:F10"/>
    <mergeCell ref="G9:G10"/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5:B6"/>
    <mergeCell ref="D5:D6"/>
    <mergeCell ref="E5:E6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9FF66"/>
  </sheetPr>
  <dimension ref="B1:IV65528"/>
  <sheetViews>
    <sheetView showGridLines="0" zoomScale="110" zoomScaleNormal="110" workbookViewId="0">
      <selection activeCell="W7" sqref="W7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9.625" style="7" customWidth="1"/>
    <col min="17" max="17" width="33.625" style="7" customWidth="1"/>
    <col min="18" max="33" width="11.5" style="7"/>
    <col min="34" max="34" width="11" style="7" customWidth="1"/>
    <col min="35" max="35" width="33.625" style="7" customWidth="1"/>
    <col min="36" max="40" width="10.75" style="7" customWidth="1"/>
    <col min="41" max="41" width="14.5" style="7" customWidth="1"/>
    <col min="42" max="42" width="12.5" style="7" customWidth="1"/>
    <col min="43" max="43" width="14.25" style="7" customWidth="1"/>
    <col min="44" max="44" width="2.625" style="7" customWidth="1"/>
    <col min="45" max="45" width="28.125" style="7" bestFit="1" customWidth="1"/>
    <col min="46" max="46" width="12.75" style="7" customWidth="1"/>
    <col min="47" max="49" width="11.75" style="7" customWidth="1"/>
    <col min="50" max="66" width="10.75" style="7" customWidth="1"/>
    <col min="67" max="256" width="10.75" style="5" customWidth="1"/>
    <col min="257" max="1012" width="10.625" customWidth="1"/>
  </cols>
  <sheetData>
    <row r="1" spans="2:66" ht="15" customHeight="1"/>
    <row r="2" spans="2:66" s="28" customFormat="1" ht="24.95" customHeight="1">
      <c r="B2" s="243" t="str">
        <f>"BASE "&amp;Resumo!B6&amp;" - PLANILHA DE FORMAÇÃO DE PREÇOS"</f>
        <v>BASE PELOTAS - PLANILHA DE FORMAÇÃO DE PREÇOS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5"/>
      <c r="P2" s="2"/>
      <c r="Q2" s="237" t="str">
        <f>"BASE "&amp;Resumo!B6&amp;" – PLANILHA DE DISTRIBUIÇÃO DE CUSTOS POR UNIDADE"</f>
        <v>BASE PELOTAS – PLANILHA DE DISTRIBUIÇÃO DE CUSTOS POR UNIDADE</v>
      </c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9"/>
      <c r="AH2" s="1"/>
      <c r="AI2" s="249" t="str">
        <f>"BASE "&amp;Resumo!B6&amp;" – PLANILHA RESUMO DE CUSTOS DA BASE"</f>
        <v>BASE PELOTAS – PLANILHA RESUMO DE CUSTOS DA BASE</v>
      </c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1"/>
    </row>
    <row r="3" spans="2:66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</row>
    <row r="4" spans="2:66" ht="20.100000000000001" customHeight="1">
      <c r="B4" s="276" t="s">
        <v>33</v>
      </c>
      <c r="C4" s="252" t="s">
        <v>34</v>
      </c>
      <c r="D4" s="252"/>
      <c r="E4" s="252"/>
      <c r="F4" s="252"/>
      <c r="G4" s="252"/>
      <c r="H4" s="252" t="s">
        <v>35</v>
      </c>
      <c r="I4" s="252"/>
      <c r="J4" s="252"/>
      <c r="K4" s="252"/>
      <c r="L4" s="252"/>
      <c r="M4" s="252"/>
      <c r="N4" s="252"/>
      <c r="O4" s="252" t="s">
        <v>21</v>
      </c>
      <c r="P4" s="2"/>
      <c r="Q4" s="276" t="s">
        <v>36</v>
      </c>
      <c r="R4" s="253" t="s">
        <v>37</v>
      </c>
      <c r="S4" s="253"/>
      <c r="T4" s="253"/>
      <c r="U4" s="253"/>
      <c r="V4" s="253" t="s">
        <v>38</v>
      </c>
      <c r="W4" s="253"/>
      <c r="X4" s="253"/>
      <c r="Y4" s="253"/>
      <c r="Z4" s="253" t="s">
        <v>39</v>
      </c>
      <c r="AA4" s="253"/>
      <c r="AB4" s="253"/>
      <c r="AC4" s="253"/>
      <c r="AD4" s="253" t="s">
        <v>40</v>
      </c>
      <c r="AE4" s="253"/>
      <c r="AF4" s="253"/>
      <c r="AG4" s="253"/>
      <c r="AH4" s="27"/>
      <c r="AI4" s="276" t="s">
        <v>36</v>
      </c>
      <c r="AJ4" s="254" t="s">
        <v>41</v>
      </c>
      <c r="AK4" s="254"/>
      <c r="AL4" s="254"/>
      <c r="AM4" s="254"/>
      <c r="AN4" s="254"/>
      <c r="AO4" s="254" t="s">
        <v>42</v>
      </c>
      <c r="AP4" s="254"/>
      <c r="AQ4" s="254"/>
      <c r="AR4" s="29"/>
      <c r="AS4" s="254" t="str">
        <f>"Resumo de Custos da Base "&amp;Resumo!B6</f>
        <v>Resumo de Custos da Base PELOTAS</v>
      </c>
      <c r="AT4" s="254"/>
      <c r="AU4" s="254"/>
      <c r="AV4" s="254"/>
      <c r="AW4" s="254"/>
    </row>
    <row r="5" spans="2:66" ht="39.950000000000003" customHeight="1">
      <c r="B5" s="276"/>
      <c r="C5" s="89" t="s">
        <v>21</v>
      </c>
      <c r="D5" s="89" t="s">
        <v>43</v>
      </c>
      <c r="E5" s="89" t="s">
        <v>44</v>
      </c>
      <c r="F5" s="89" t="s">
        <v>45</v>
      </c>
      <c r="G5" s="252" t="s">
        <v>46</v>
      </c>
      <c r="H5" s="89" t="s">
        <v>47</v>
      </c>
      <c r="I5" s="89" t="s">
        <v>48</v>
      </c>
      <c r="J5" s="89" t="s">
        <v>49</v>
      </c>
      <c r="K5" s="89" t="s">
        <v>50</v>
      </c>
      <c r="L5" s="89" t="s">
        <v>51</v>
      </c>
      <c r="M5" s="89" t="s">
        <v>52</v>
      </c>
      <c r="N5" s="252" t="s">
        <v>53</v>
      </c>
      <c r="O5" s="252"/>
      <c r="P5" s="2"/>
      <c r="Q5" s="276"/>
      <c r="R5" s="94" t="s">
        <v>54</v>
      </c>
      <c r="S5" s="94" t="s">
        <v>55</v>
      </c>
      <c r="T5" s="94" t="s">
        <v>56</v>
      </c>
      <c r="U5" s="94" t="s">
        <v>57</v>
      </c>
      <c r="V5" s="276" t="s">
        <v>58</v>
      </c>
      <c r="W5" s="276" t="s">
        <v>59</v>
      </c>
      <c r="X5" s="276" t="s">
        <v>60</v>
      </c>
      <c r="Y5" s="276" t="s">
        <v>61</v>
      </c>
      <c r="Z5" s="246" t="s">
        <v>62</v>
      </c>
      <c r="AA5" s="247"/>
      <c r="AB5" s="248"/>
      <c r="AC5" s="94">
        <f>N16+'Base Porto Alegre'!N21</f>
        <v>992.40000000000009</v>
      </c>
      <c r="AD5" s="253" t="s">
        <v>54</v>
      </c>
      <c r="AE5" s="253" t="s">
        <v>55</v>
      </c>
      <c r="AF5" s="253" t="s">
        <v>56</v>
      </c>
      <c r="AG5" s="253" t="s">
        <v>57</v>
      </c>
      <c r="AH5" s="19"/>
      <c r="AI5" s="276"/>
      <c r="AJ5" s="253" t="s">
        <v>63</v>
      </c>
      <c r="AK5" s="253" t="s">
        <v>54</v>
      </c>
      <c r="AL5" s="253" t="s">
        <v>55</v>
      </c>
      <c r="AM5" s="253" t="s">
        <v>56</v>
      </c>
      <c r="AN5" s="253" t="s">
        <v>57</v>
      </c>
      <c r="AO5" s="253" t="s">
        <v>64</v>
      </c>
      <c r="AP5" s="253" t="s">
        <v>65</v>
      </c>
      <c r="AQ5" s="253" t="s">
        <v>66</v>
      </c>
      <c r="AR5" s="27"/>
      <c r="AS5" s="253" t="s">
        <v>67</v>
      </c>
      <c r="AT5" s="95" t="s">
        <v>54</v>
      </c>
      <c r="AU5" s="95" t="s">
        <v>55</v>
      </c>
      <c r="AV5" s="95" t="s">
        <v>56</v>
      </c>
      <c r="AW5" s="95" t="s">
        <v>57</v>
      </c>
    </row>
    <row r="6" spans="2:66" ht="20.100000000000001" customHeight="1">
      <c r="B6" s="276"/>
      <c r="C6" s="90" t="s">
        <v>68</v>
      </c>
      <c r="D6" s="90">
        <v>1</v>
      </c>
      <c r="E6" s="90">
        <v>0.35</v>
      </c>
      <c r="F6" s="90">
        <v>0.1</v>
      </c>
      <c r="G6" s="252"/>
      <c r="H6" s="90">
        <v>1</v>
      </c>
      <c r="I6" s="90">
        <v>1.2</v>
      </c>
      <c r="J6" s="90">
        <v>2</v>
      </c>
      <c r="K6" s="90">
        <v>4</v>
      </c>
      <c r="L6" s="90">
        <v>1.1000000000000001</v>
      </c>
      <c r="M6" s="90">
        <v>1.1000000000000001</v>
      </c>
      <c r="N6" s="252"/>
      <c r="O6" s="252"/>
      <c r="P6" s="30"/>
      <c r="Q6" s="276"/>
      <c r="R6" s="100" t="s">
        <v>69</v>
      </c>
      <c r="S6" s="100" t="s">
        <v>70</v>
      </c>
      <c r="T6" s="100" t="s">
        <v>71</v>
      </c>
      <c r="U6" s="100" t="s">
        <v>72</v>
      </c>
      <c r="V6" s="276"/>
      <c r="W6" s="276"/>
      <c r="X6" s="276"/>
      <c r="Y6" s="276"/>
      <c r="Z6" s="101" t="s">
        <v>54</v>
      </c>
      <c r="AA6" s="101" t="s">
        <v>55</v>
      </c>
      <c r="AB6" s="101" t="s">
        <v>56</v>
      </c>
      <c r="AC6" s="101" t="s">
        <v>57</v>
      </c>
      <c r="AD6" s="253"/>
      <c r="AE6" s="253"/>
      <c r="AF6" s="253"/>
      <c r="AG6" s="253"/>
      <c r="AH6" s="27"/>
      <c r="AI6" s="276"/>
      <c r="AJ6" s="253"/>
      <c r="AK6" s="253"/>
      <c r="AL6" s="253"/>
      <c r="AM6" s="253"/>
      <c r="AN6" s="253"/>
      <c r="AO6" s="253"/>
      <c r="AP6" s="253"/>
      <c r="AQ6" s="253"/>
      <c r="AR6" s="31"/>
      <c r="AS6" s="253"/>
      <c r="AT6" s="84" t="s">
        <v>69</v>
      </c>
      <c r="AU6" s="84" t="s">
        <v>70</v>
      </c>
      <c r="AV6" s="84" t="s">
        <v>71</v>
      </c>
      <c r="AW6" s="84" t="s">
        <v>72</v>
      </c>
    </row>
    <row r="7" spans="2:66" ht="15" customHeight="1">
      <c r="B7" s="63" t="s">
        <v>206</v>
      </c>
      <c r="C7" s="59">
        <f>VLOOKUP($B7,Unidades!$D$5:$N$27,6,FALSE())</f>
        <v>1011.72</v>
      </c>
      <c r="D7" s="59">
        <f>VLOOKUP($B7,Unidades!$D$5:$N$27,7,FALSE())</f>
        <v>492.6</v>
      </c>
      <c r="E7" s="59">
        <f>VLOOKUP($B7,Unidades!$D$5:$N$27,8,FALSE())</f>
        <v>501.82</v>
      </c>
      <c r="F7" s="59">
        <f>VLOOKUP($B7,Unidades!$D$5:$N$27,9,FALSE())</f>
        <v>17.3</v>
      </c>
      <c r="G7" s="59">
        <f t="shared" ref="G7:G15" si="0">D7+$E$6*E7+$F$6*F7</f>
        <v>669.9670000000001</v>
      </c>
      <c r="H7" s="60">
        <f t="shared" ref="H7:H15" si="1">IF(G7&lt;750,1.5,IF(G7&lt;2000,2,3))</f>
        <v>1.5</v>
      </c>
      <c r="I7" s="60">
        <f t="shared" ref="I7:I15" si="2">$I$6*H7</f>
        <v>1.7999999999999998</v>
      </c>
      <c r="J7" s="60" t="str">
        <f>VLOOKUP($B7,Unidades!$D$5:$N$27,10,FALSE())</f>
        <v>NÃO</v>
      </c>
      <c r="K7" s="60" t="str">
        <f>VLOOKUP($B7,Unidades!$D$5:$N$27,11,FALSE())</f>
        <v>SIM</v>
      </c>
      <c r="L7" s="60">
        <f t="shared" ref="L7:L15" si="3">$L$6*H7+(IF(J7="SIM",$J$6,0))</f>
        <v>1.6500000000000001</v>
      </c>
      <c r="M7" s="60">
        <f t="shared" ref="M7:M15" si="4">$M$6*H7+(IF(J7="SIM",$J$6,0))+(IF(K7="SIM",$K$6,0))</f>
        <v>5.65</v>
      </c>
      <c r="N7" s="60">
        <f t="shared" ref="N7:N15" si="5">H7*12+I7*4+L7*2+M7</f>
        <v>34.15</v>
      </c>
      <c r="O7" s="61">
        <f t="shared" ref="O7:O15" si="6">IF(K7="não", N7*(C$19+D$19),N7*(C$19+D$19)+(M7*+E$19))</f>
        <v>1712.7775000000001</v>
      </c>
      <c r="P7" s="32"/>
      <c r="Q7" s="63" t="str">
        <f t="shared" ref="Q7:Q15" si="7">B7</f>
        <v>APS CAMAQUÃ</v>
      </c>
      <c r="R7" s="6">
        <f t="shared" ref="R7:R15" si="8">H7*($C$19+$D$19)</f>
        <v>67.680000000000007</v>
      </c>
      <c r="S7" s="6">
        <f t="shared" ref="S7:S15" si="9">I7*($C$19+$D$19)</f>
        <v>81.215999999999994</v>
      </c>
      <c r="T7" s="6">
        <f t="shared" ref="T7:T15" si="10">L7*($C$19+$D$19)</f>
        <v>74.448000000000008</v>
      </c>
      <c r="U7" s="6">
        <f t="shared" ref="U7:U15" si="11">IF(K7="não",M7*($C$19+$D$19),M7*(C$19+D$19+E$19))</f>
        <v>426.85750000000007</v>
      </c>
      <c r="V7" s="6">
        <f>VLOOKUP(Q7,'Desl. Base Pelotas'!$C$5:$S$13,13,FALSE())*($C$19+$D$19+$E$19*(VLOOKUP(Q7,'Desl. Base Pelotas'!$C$5:$S$13,17,FALSE())/12))</f>
        <v>130.65640972222224</v>
      </c>
      <c r="W7" s="6">
        <f>VLOOKUP(Q7,'Desl. Base Pelotas'!$C$5:$S$13,15,FALSE())*(2+(VLOOKUP(Q7,'Desl. Base Pelotas'!$C$5:$S$13,17,FALSE())/12))</f>
        <v>138.27083333333334</v>
      </c>
      <c r="X7" s="6">
        <f>VLOOKUP(Q7,'Desl. Base Pelotas'!$C$5:$Q$13,14,FALSE())</f>
        <v>30.4</v>
      </c>
      <c r="Y7" s="6">
        <f>VLOOKUP(Q7,'Desl. Base Pelotas'!$C$5:Q$13,13,FALSE())*'Desl. Base Pelotas'!$E$18+'Desl. Base Pelotas'!$E$19*N7/12</f>
        <v>158.36979166666666</v>
      </c>
      <c r="Z7" s="6">
        <f>(H7/$AC$5)*'Equipe Técnica'!$C$13</f>
        <v>219.19189842805315</v>
      </c>
      <c r="AA7" s="6">
        <f>(I7/$AC$5)*'Equipe Técnica'!$C$13</f>
        <v>263.03027811366377</v>
      </c>
      <c r="AB7" s="6">
        <f>(L7/$AC$5)*'Equipe Técnica'!$C$13</f>
        <v>241.11108827085849</v>
      </c>
      <c r="AC7" s="6">
        <f>(M7/$AC$5)*'Equipe Técnica'!$C$13</f>
        <v>825.62281741233369</v>
      </c>
      <c r="AD7" s="6">
        <f t="shared" ref="AD7:AD15" si="12">R7+(($V7+$W7+$X7+$Y7)*12/19)+$Z7</f>
        <v>575.94370983156182</v>
      </c>
      <c r="AE7" s="6">
        <f t="shared" ref="AE7:AE15" si="13">S7+(($V7+$W7+$X7+$Y7)*12/19)+$AA7</f>
        <v>633.31808951717244</v>
      </c>
      <c r="AF7" s="6">
        <f t="shared" ref="AF7:AF15" si="14">T7+(($V7+$W7+$X7+$Y7)*12/19)+$AB7</f>
        <v>604.63089967436713</v>
      </c>
      <c r="AG7" s="6">
        <f t="shared" ref="AG7:AG15" si="15">U7+(($V7+$W7+$X7+$Y7)*12/19)+$AC7</f>
        <v>1541.5521288158425</v>
      </c>
      <c r="AH7" s="33"/>
      <c r="AI7" s="63" t="str">
        <f t="shared" ref="AI7:AI15" si="16">B7</f>
        <v>APS CAMAQUÃ</v>
      </c>
      <c r="AJ7" s="74">
        <f>VLOOKUP(AI7,Unidades!D$5:H$27,5,)</f>
        <v>0.28349999999999997</v>
      </c>
      <c r="AK7" s="72">
        <f t="shared" ref="AK7:AK15" si="17">AD7*(1+$AJ7)</f>
        <v>739.22375156880969</v>
      </c>
      <c r="AL7" s="72">
        <f t="shared" ref="AL7:AL15" si="18">AE7*(1+$AJ7)</f>
        <v>812.86376789529083</v>
      </c>
      <c r="AM7" s="72">
        <f t="shared" ref="AM7:AM15" si="19">AF7*(1+$AJ7)</f>
        <v>776.04375973205026</v>
      </c>
      <c r="AN7" s="72">
        <f t="shared" ref="AN7:AN15" si="20">AG7*(1+$AJ7)</f>
        <v>1978.5821573351338</v>
      </c>
      <c r="AO7" s="72">
        <f t="shared" ref="AO7:AO15" si="21">((AK7*12)+(AL7*4)+(AM7*2)+AN7)/12</f>
        <v>1304.4008139338428</v>
      </c>
      <c r="AP7" s="72">
        <f t="shared" ref="AP7:AP15" si="22">AO7*3</f>
        <v>3913.202441801528</v>
      </c>
      <c r="AQ7" s="72">
        <f t="shared" ref="AQ7:AQ15" si="23">AO7+AP7</f>
        <v>5217.603255735371</v>
      </c>
      <c r="AR7" s="76"/>
      <c r="AS7" s="77" t="s">
        <v>73</v>
      </c>
      <c r="AT7" s="72">
        <f>AK16</f>
        <v>6262.2375128855037</v>
      </c>
      <c r="AU7" s="72">
        <f>AL16</f>
        <v>7029.2889822576926</v>
      </c>
      <c r="AV7" s="72">
        <f>AM16</f>
        <v>6645.7632475715991</v>
      </c>
      <c r="AW7" s="72">
        <f>AN16</f>
        <v>11577.094150178855</v>
      </c>
    </row>
    <row r="8" spans="2:66" ht="15" customHeight="1">
      <c r="B8" s="63" t="s">
        <v>208</v>
      </c>
      <c r="C8" s="59">
        <f>VLOOKUP($B8,Unidades!$D$5:$N$27,6,FALSE())</f>
        <v>334.4</v>
      </c>
      <c r="D8" s="59">
        <f>VLOOKUP($B8,Unidades!$D$5:$N$27,7,FALSE())</f>
        <v>296</v>
      </c>
      <c r="E8" s="59">
        <f>VLOOKUP($B8,Unidades!$D$5:$N$27,8,FALSE())</f>
        <v>38.4</v>
      </c>
      <c r="F8" s="59">
        <f>VLOOKUP($B8,Unidades!$D$5:$N$27,9,FALSE())</f>
        <v>0</v>
      </c>
      <c r="G8" s="59">
        <f t="shared" si="0"/>
        <v>309.44</v>
      </c>
      <c r="H8" s="60">
        <f t="shared" si="1"/>
        <v>1.5</v>
      </c>
      <c r="I8" s="60">
        <f t="shared" si="2"/>
        <v>1.7999999999999998</v>
      </c>
      <c r="J8" s="60" t="str">
        <f>VLOOKUP($B8,Unidades!$D$5:$N$27,10,FALSE())</f>
        <v>NÃO</v>
      </c>
      <c r="K8" s="60" t="str">
        <f>VLOOKUP($B8,Unidades!$D$5:$N$27,11,FALSE())</f>
        <v>NÃO</v>
      </c>
      <c r="L8" s="60">
        <f t="shared" si="3"/>
        <v>1.6500000000000001</v>
      </c>
      <c r="M8" s="60">
        <f t="shared" si="4"/>
        <v>1.6500000000000001</v>
      </c>
      <c r="N8" s="60">
        <f t="shared" si="5"/>
        <v>30.15</v>
      </c>
      <c r="O8" s="61">
        <f t="shared" si="6"/>
        <v>1360.3680000000002</v>
      </c>
      <c r="P8" s="32"/>
      <c r="Q8" s="63" t="str">
        <f t="shared" si="7"/>
        <v>APS CAPÃO DO LEÃO</v>
      </c>
      <c r="R8" s="6">
        <f t="shared" si="8"/>
        <v>67.680000000000007</v>
      </c>
      <c r="S8" s="6">
        <f t="shared" si="9"/>
        <v>81.215999999999994</v>
      </c>
      <c r="T8" s="6">
        <f t="shared" si="10"/>
        <v>74.448000000000008</v>
      </c>
      <c r="U8" s="6">
        <f t="shared" si="11"/>
        <v>74.448000000000008</v>
      </c>
      <c r="V8" s="6">
        <f>VLOOKUP(Q8,'Desl. Base Pelotas'!$C$5:$S$13,13,FALSE())*($C$19+$D$19+$E$19*(VLOOKUP(Q8,'Desl. Base Pelotas'!$C$5:$S$13,17,FALSE())/12))</f>
        <v>19.459465277777781</v>
      </c>
      <c r="W8" s="6">
        <f>VLOOKUP(Q8,'Desl. Base Pelotas'!$C$5:$S$13,15,FALSE())*(2+(VLOOKUP(Q8,'Desl. Base Pelotas'!$C$5:$S$13,17,FALSE())/12))</f>
        <v>0</v>
      </c>
      <c r="X8" s="6">
        <f>VLOOKUP(Q8,'Desl. Base Pelotas'!$C$5:$Q$13,14,FALSE())</f>
        <v>0</v>
      </c>
      <c r="Y8" s="6">
        <f>VLOOKUP(Q8,'Desl. Base Pelotas'!$C$5:Q$13,13,FALSE())*'Desl. Base Pelotas'!$E$18+'Desl. Base Pelotas'!$E$19*N8/12</f>
        <v>38.103124999999999</v>
      </c>
      <c r="Z8" s="6">
        <f>(H8/$AC$5)*'Equipe Técnica'!$C$13</f>
        <v>219.19189842805315</v>
      </c>
      <c r="AA8" s="6">
        <f>(I8/$AC$5)*'Equipe Técnica'!$C$13</f>
        <v>263.03027811366377</v>
      </c>
      <c r="AB8" s="6">
        <f>(L8/$AC$5)*'Equipe Técnica'!$C$13</f>
        <v>241.11108827085849</v>
      </c>
      <c r="AC8" s="6">
        <f>(M8/$AC$5)*'Equipe Técnica'!$C$13</f>
        <v>241.11108827085849</v>
      </c>
      <c r="AD8" s="6">
        <f t="shared" si="12"/>
        <v>323.22721860349179</v>
      </c>
      <c r="AE8" s="6">
        <f t="shared" si="13"/>
        <v>380.60159828910236</v>
      </c>
      <c r="AF8" s="6">
        <f t="shared" si="14"/>
        <v>351.9144084462971</v>
      </c>
      <c r="AG8" s="6">
        <f t="shared" si="15"/>
        <v>351.9144084462971</v>
      </c>
      <c r="AH8" s="33"/>
      <c r="AI8" s="63" t="str">
        <f t="shared" si="16"/>
        <v>APS CAPÃO DO LEÃO</v>
      </c>
      <c r="AJ8" s="74">
        <f>VLOOKUP(AI8,Unidades!D$5:H$27,5,)</f>
        <v>0.28349999999999997</v>
      </c>
      <c r="AK8" s="72">
        <f t="shared" si="17"/>
        <v>414.86213507758174</v>
      </c>
      <c r="AL8" s="72">
        <f t="shared" si="18"/>
        <v>488.50215140406289</v>
      </c>
      <c r="AM8" s="72">
        <f t="shared" si="19"/>
        <v>451.68214324082237</v>
      </c>
      <c r="AN8" s="72">
        <f t="shared" si="20"/>
        <v>451.68214324082237</v>
      </c>
      <c r="AO8" s="72">
        <f t="shared" si="21"/>
        <v>690.61672135580829</v>
      </c>
      <c r="AP8" s="72">
        <f t="shared" si="22"/>
        <v>2071.8501640674249</v>
      </c>
      <c r="AQ8" s="72">
        <f t="shared" si="23"/>
        <v>2762.4668854232332</v>
      </c>
      <c r="AR8" s="76"/>
      <c r="AS8" s="77" t="s">
        <v>74</v>
      </c>
      <c r="AT8" s="72">
        <f>AT7*12</f>
        <v>75146.850154626038</v>
      </c>
      <c r="AU8" s="72">
        <f>AU7*4</f>
        <v>28117.15592903077</v>
      </c>
      <c r="AV8" s="72">
        <f>AV7*2</f>
        <v>13291.526495143198</v>
      </c>
      <c r="AW8" s="72">
        <f>AW7</f>
        <v>11577.094150178855</v>
      </c>
    </row>
    <row r="9" spans="2:66" ht="15" customHeight="1">
      <c r="B9" s="63" t="s">
        <v>210</v>
      </c>
      <c r="C9" s="59">
        <f>VLOOKUP($B9,Unidades!$D$5:$N$27,6,FALSE())</f>
        <v>1001.58</v>
      </c>
      <c r="D9" s="59">
        <f>VLOOKUP($B9,Unidades!$D$5:$N$27,7,FALSE())</f>
        <v>528.17999999999995</v>
      </c>
      <c r="E9" s="59">
        <f>VLOOKUP($B9,Unidades!$D$5:$N$27,8,FALSE())</f>
        <v>0</v>
      </c>
      <c r="F9" s="59">
        <f>VLOOKUP($B9,Unidades!$D$5:$N$27,9,FALSE())</f>
        <v>1152.3599999999999</v>
      </c>
      <c r="G9" s="59">
        <f t="shared" si="0"/>
        <v>643.41599999999994</v>
      </c>
      <c r="H9" s="60">
        <f t="shared" si="1"/>
        <v>1.5</v>
      </c>
      <c r="I9" s="60">
        <f t="shared" si="2"/>
        <v>1.7999999999999998</v>
      </c>
      <c r="J9" s="60" t="str">
        <f>VLOOKUP($B9,Unidades!$D$5:$N$27,10,FALSE())</f>
        <v>NÃO</v>
      </c>
      <c r="K9" s="60" t="str">
        <f>VLOOKUP($B9,Unidades!$D$5:$N$27,11,FALSE())</f>
        <v>SIM</v>
      </c>
      <c r="L9" s="60">
        <f t="shared" si="3"/>
        <v>1.6500000000000001</v>
      </c>
      <c r="M9" s="60">
        <f t="shared" si="4"/>
        <v>5.65</v>
      </c>
      <c r="N9" s="60">
        <f t="shared" si="5"/>
        <v>34.15</v>
      </c>
      <c r="O9" s="61">
        <f t="shared" si="6"/>
        <v>1712.7775000000001</v>
      </c>
      <c r="P9" s="32"/>
      <c r="Q9" s="63" t="str">
        <f t="shared" si="7"/>
        <v>APS JAGUARÃO</v>
      </c>
      <c r="R9" s="6">
        <f t="shared" si="8"/>
        <v>67.680000000000007</v>
      </c>
      <c r="S9" s="6">
        <f t="shared" si="9"/>
        <v>81.215999999999994</v>
      </c>
      <c r="T9" s="6">
        <f t="shared" si="10"/>
        <v>74.448000000000008</v>
      </c>
      <c r="U9" s="6">
        <f t="shared" si="11"/>
        <v>426.85750000000007</v>
      </c>
      <c r="V9" s="6">
        <f>VLOOKUP(Q9,'Desl. Base Pelotas'!$C$5:$S$13,13,FALSE())*($C$19+$D$19+$E$19*(VLOOKUP(Q9,'Desl. Base Pelotas'!$C$5:$S$13,17,FALSE())/12))</f>
        <v>164.41262500000005</v>
      </c>
      <c r="W9" s="6">
        <f>VLOOKUP(Q9,'Desl. Base Pelotas'!$C$5:$S$13,15,FALSE())*(2+(VLOOKUP(Q9,'Desl. Base Pelotas'!$C$5:$S$13,17,FALSE())/12))</f>
        <v>0</v>
      </c>
      <c r="X9" s="6">
        <f>VLOOKUP(Q9,'Desl. Base Pelotas'!$C$5:$Q$13,14,FALSE())</f>
        <v>0</v>
      </c>
      <c r="Y9" s="6">
        <f>VLOOKUP(Q9,'Desl. Base Pelotas'!$C$5:Q$13,13,FALSE())*'Desl. Base Pelotas'!$E$18+'Desl. Base Pelotas'!$E$19*N9/12</f>
        <v>194.17604166666666</v>
      </c>
      <c r="Z9" s="6">
        <f>(H9/$AC$5)*'Equipe Técnica'!$C$13</f>
        <v>219.19189842805315</v>
      </c>
      <c r="AA9" s="6">
        <f>(I9/$AC$5)*'Equipe Técnica'!$C$13</f>
        <v>263.03027811366377</v>
      </c>
      <c r="AB9" s="6">
        <f>(L9/$AC$5)*'Equipe Técnica'!$C$13</f>
        <v>241.11108827085849</v>
      </c>
      <c r="AC9" s="6">
        <f>(M9/$AC$5)*'Equipe Técnica'!$C$13</f>
        <v>825.62281741233369</v>
      </c>
      <c r="AD9" s="6">
        <f t="shared" si="12"/>
        <v>513.3489510596321</v>
      </c>
      <c r="AE9" s="6">
        <f t="shared" si="13"/>
        <v>570.72333074524272</v>
      </c>
      <c r="AF9" s="6">
        <f t="shared" si="14"/>
        <v>542.03614090243741</v>
      </c>
      <c r="AG9" s="6">
        <f t="shared" si="15"/>
        <v>1478.9573700439128</v>
      </c>
      <c r="AH9" s="33"/>
      <c r="AI9" s="63" t="str">
        <f t="shared" si="16"/>
        <v>APS JAGUARÃO</v>
      </c>
      <c r="AJ9" s="74">
        <f>VLOOKUP(AI9,Unidades!D$5:H$27,5,)</f>
        <v>0.28349999999999997</v>
      </c>
      <c r="AK9" s="72">
        <f t="shared" si="17"/>
        <v>658.88337868503788</v>
      </c>
      <c r="AL9" s="72">
        <f t="shared" si="18"/>
        <v>732.52339501151903</v>
      </c>
      <c r="AM9" s="72">
        <f t="shared" si="19"/>
        <v>695.70338684827846</v>
      </c>
      <c r="AN9" s="72">
        <f t="shared" si="20"/>
        <v>1898.2417844513623</v>
      </c>
      <c r="AO9" s="72">
        <f t="shared" si="21"/>
        <v>1177.1952235345375</v>
      </c>
      <c r="AP9" s="72">
        <f t="shared" si="22"/>
        <v>3531.5856706036125</v>
      </c>
      <c r="AQ9" s="72">
        <f t="shared" si="23"/>
        <v>4708.78089413815</v>
      </c>
      <c r="AR9" s="76"/>
      <c r="AS9" s="76"/>
      <c r="AT9" s="75"/>
      <c r="AU9" s="75"/>
      <c r="AV9" s="75"/>
      <c r="AW9" s="75"/>
    </row>
    <row r="10" spans="2:66" ht="15" customHeight="1">
      <c r="B10" s="63" t="s">
        <v>212</v>
      </c>
      <c r="C10" s="59">
        <f>VLOOKUP($B10,Unidades!$D$5:$N$27,6,FALSE())</f>
        <v>1315.1</v>
      </c>
      <c r="D10" s="59">
        <f>VLOOKUP($B10,Unidades!$D$5:$N$27,7,FALSE())</f>
        <v>1195.25</v>
      </c>
      <c r="E10" s="59">
        <f>VLOOKUP($B10,Unidades!$D$5:$N$27,8,FALSE())</f>
        <v>119.85</v>
      </c>
      <c r="F10" s="59">
        <f>VLOOKUP($B10,Unidades!$D$5:$N$27,9,FALSE())</f>
        <v>0</v>
      </c>
      <c r="G10" s="59">
        <f t="shared" si="0"/>
        <v>1237.1975</v>
      </c>
      <c r="H10" s="60">
        <f t="shared" si="1"/>
        <v>2</v>
      </c>
      <c r="I10" s="60">
        <f t="shared" si="2"/>
        <v>2.4</v>
      </c>
      <c r="J10" s="60" t="str">
        <f>VLOOKUP($B10,Unidades!$D$5:$N$27,10,FALSE())</f>
        <v>NÃO</v>
      </c>
      <c r="K10" s="60" t="str">
        <f>VLOOKUP($B10,Unidades!$D$5:$N$27,11,FALSE())</f>
        <v>SIM</v>
      </c>
      <c r="L10" s="60">
        <f t="shared" si="3"/>
        <v>2.2000000000000002</v>
      </c>
      <c r="M10" s="60">
        <f t="shared" si="4"/>
        <v>6.2</v>
      </c>
      <c r="N10" s="60">
        <f t="shared" si="5"/>
        <v>44.2</v>
      </c>
      <c r="O10" s="61">
        <f t="shared" si="6"/>
        <v>2182.9700000000003</v>
      </c>
      <c r="P10" s="32"/>
      <c r="Q10" s="63" t="str">
        <f t="shared" si="7"/>
        <v>APS RIO GRANDE</v>
      </c>
      <c r="R10" s="6">
        <f t="shared" si="8"/>
        <v>90.240000000000009</v>
      </c>
      <c r="S10" s="6">
        <f t="shared" si="9"/>
        <v>108.28800000000001</v>
      </c>
      <c r="T10" s="6">
        <f t="shared" si="10"/>
        <v>99.264000000000024</v>
      </c>
      <c r="U10" s="6">
        <f t="shared" si="11"/>
        <v>468.41000000000008</v>
      </c>
      <c r="V10" s="6">
        <f>VLOOKUP(Q10,'Desl. Base Pelotas'!$C$5:$S$13,13,FALSE())*($C$19+$D$19+$E$19*(VLOOKUP(Q10,'Desl. Base Pelotas'!$C$5:$S$13,17,FALSE())/12))</f>
        <v>92.531743055555566</v>
      </c>
      <c r="W10" s="6">
        <f>VLOOKUP(Q10,'Desl. Base Pelotas'!$C$5:$S$13,15,FALSE())*(2+(VLOOKUP(Q10,'Desl. Base Pelotas'!$C$5:$S$13,17,FALSE())/12))</f>
        <v>0</v>
      </c>
      <c r="X10" s="6">
        <f>VLOOKUP(Q10,'Desl. Base Pelotas'!$C$5:$Q$13,14,FALSE())</f>
        <v>15.2</v>
      </c>
      <c r="Y10" s="6">
        <f>VLOOKUP(Q10,'Desl. Base Pelotas'!$C$5:Q$13,13,FALSE())*'Desl. Base Pelotas'!$E$18+'Desl. Base Pelotas'!$E$19*N10/12</f>
        <v>123.75041666666667</v>
      </c>
      <c r="Z10" s="6">
        <f>(H10/$AC$5)*'Equipe Técnica'!$C$13</f>
        <v>292.25586457073757</v>
      </c>
      <c r="AA10" s="6">
        <f>(I10/$AC$5)*'Equipe Técnica'!$C$13</f>
        <v>350.70703748488506</v>
      </c>
      <c r="AB10" s="6">
        <f>(L10/$AC$5)*'Equipe Técnica'!$C$13</f>
        <v>321.48145102781137</v>
      </c>
      <c r="AC10" s="6">
        <f>(M10/$AC$5)*'Equipe Técnica'!$C$13</f>
        <v>905.99318016928635</v>
      </c>
      <c r="AD10" s="6">
        <f t="shared" si="12"/>
        <v>528.69512334266744</v>
      </c>
      <c r="AE10" s="6">
        <f t="shared" si="13"/>
        <v>605.19429625681494</v>
      </c>
      <c r="AF10" s="6">
        <f t="shared" si="14"/>
        <v>566.9447097997413</v>
      </c>
      <c r="AG10" s="6">
        <f t="shared" si="15"/>
        <v>1520.6024389412164</v>
      </c>
      <c r="AH10" s="33"/>
      <c r="AI10" s="63" t="str">
        <f t="shared" si="16"/>
        <v>APS RIO GRANDE</v>
      </c>
      <c r="AJ10" s="74">
        <f>VLOOKUP(AI10,Unidades!D$5:H$27,5,)</f>
        <v>0.2979</v>
      </c>
      <c r="AK10" s="72">
        <f t="shared" si="17"/>
        <v>686.19340058644809</v>
      </c>
      <c r="AL10" s="72">
        <f t="shared" si="18"/>
        <v>785.48167711172016</v>
      </c>
      <c r="AM10" s="72">
        <f t="shared" si="19"/>
        <v>735.83753884908424</v>
      </c>
      <c r="AN10" s="72">
        <f t="shared" si="20"/>
        <v>1973.5899055018049</v>
      </c>
      <c r="AO10" s="72">
        <f t="shared" si="21"/>
        <v>1235.1260415570193</v>
      </c>
      <c r="AP10" s="72">
        <f t="shared" si="22"/>
        <v>3705.3781246710578</v>
      </c>
      <c r="AQ10" s="72">
        <f t="shared" si="23"/>
        <v>4940.5041662280773</v>
      </c>
      <c r="AR10" s="76"/>
      <c r="AS10" s="98" t="s">
        <v>64</v>
      </c>
      <c r="AT10" s="255">
        <f>(SUM(AT8:AW8))/12</f>
        <v>10677.71889408157</v>
      </c>
      <c r="AU10" s="255"/>
      <c r="AV10" s="75"/>
      <c r="AW10" s="75"/>
    </row>
    <row r="11" spans="2:66" ht="15" customHeight="1">
      <c r="B11" s="63" t="s">
        <v>214</v>
      </c>
      <c r="C11" s="59">
        <f>VLOOKUP($B11,Unidades!$D$5:$N$27,6,FALSE())</f>
        <v>399.57</v>
      </c>
      <c r="D11" s="59">
        <f>VLOOKUP($B11,Unidades!$D$5:$N$27,7,FALSE())</f>
        <v>322.16000000000003</v>
      </c>
      <c r="E11" s="59">
        <f>VLOOKUP($B11,Unidades!$D$5:$N$27,8,FALSE())</f>
        <v>77.41</v>
      </c>
      <c r="F11" s="59">
        <f>VLOOKUP($B11,Unidades!$D$5:$N$27,9,FALSE())</f>
        <v>0</v>
      </c>
      <c r="G11" s="59">
        <f t="shared" si="0"/>
        <v>349.25350000000003</v>
      </c>
      <c r="H11" s="60">
        <f t="shared" si="1"/>
        <v>1.5</v>
      </c>
      <c r="I11" s="60">
        <f t="shared" si="2"/>
        <v>1.7999999999999998</v>
      </c>
      <c r="J11" s="60" t="str">
        <f>VLOOKUP($B11,Unidades!$D$5:$N$27,10,FALSE())</f>
        <v>NÃO</v>
      </c>
      <c r="K11" s="60" t="str">
        <f>VLOOKUP($B11,Unidades!$D$5:$N$27,11,FALSE())</f>
        <v>NÃO</v>
      </c>
      <c r="L11" s="60">
        <f t="shared" si="3"/>
        <v>1.6500000000000001</v>
      </c>
      <c r="M11" s="60">
        <f t="shared" si="4"/>
        <v>1.6500000000000001</v>
      </c>
      <c r="N11" s="60">
        <f t="shared" si="5"/>
        <v>30.15</v>
      </c>
      <c r="O11" s="61">
        <f t="shared" si="6"/>
        <v>1360.3680000000002</v>
      </c>
      <c r="P11" s="32"/>
      <c r="Q11" s="63" t="str">
        <f t="shared" si="7"/>
        <v>APS SANTA VITÓRIA DO PALMAR</v>
      </c>
      <c r="R11" s="6">
        <f t="shared" si="8"/>
        <v>67.680000000000007</v>
      </c>
      <c r="S11" s="6">
        <f t="shared" si="9"/>
        <v>81.215999999999994</v>
      </c>
      <c r="T11" s="6">
        <f t="shared" si="10"/>
        <v>74.448000000000008</v>
      </c>
      <c r="U11" s="6">
        <f t="shared" si="11"/>
        <v>74.448000000000008</v>
      </c>
      <c r="V11" s="6">
        <f>VLOOKUP(Q11,'Desl. Base Pelotas'!$C$5:$S$13,13,FALSE())*($C$19+$D$19+$E$19*(VLOOKUP(Q11,'Desl. Base Pelotas'!$C$5:$S$13,17,FALSE())/12))</f>
        <v>261.69600000000003</v>
      </c>
      <c r="W11" s="6">
        <f>VLOOKUP(Q11,'Desl. Base Pelotas'!$C$5:$S$13,15,FALSE())*(2+(VLOOKUP(Q11,'Desl. Base Pelotas'!$C$5:$S$13,17,FALSE())/12))</f>
        <v>265.48</v>
      </c>
      <c r="X11" s="6">
        <f>VLOOKUP(Q11,'Desl. Base Pelotas'!$C$5:$Q$13,14,FALSE())</f>
        <v>30.4</v>
      </c>
      <c r="Y11" s="6">
        <f>VLOOKUP(Q11,'Desl. Base Pelotas'!$C$5:Q$13,13,FALSE())*'Desl. Base Pelotas'!$E$18+'Desl. Base Pelotas'!$E$19*N11/12</f>
        <v>310.65187500000002</v>
      </c>
      <c r="Z11" s="6">
        <f>(H11/$AC$5)*'Equipe Técnica'!$C$13</f>
        <v>219.19189842805315</v>
      </c>
      <c r="AA11" s="6">
        <f>(I11/$AC$5)*'Equipe Técnica'!$C$13</f>
        <v>263.03027811366377</v>
      </c>
      <c r="AB11" s="6">
        <f>(L11/$AC$5)*'Equipe Técnica'!$C$13</f>
        <v>241.11108827085849</v>
      </c>
      <c r="AC11" s="6">
        <f>(M11/$AC$5)*'Equipe Técnica'!$C$13</f>
        <v>241.11108827085849</v>
      </c>
      <c r="AD11" s="6">
        <f t="shared" si="12"/>
        <v>835.22634579647422</v>
      </c>
      <c r="AE11" s="6">
        <f t="shared" si="13"/>
        <v>892.60072548208495</v>
      </c>
      <c r="AF11" s="6">
        <f t="shared" si="14"/>
        <v>863.91353563927964</v>
      </c>
      <c r="AG11" s="6">
        <f t="shared" si="15"/>
        <v>863.91353563927964</v>
      </c>
      <c r="AH11" s="33"/>
      <c r="AI11" s="63" t="str">
        <f t="shared" si="16"/>
        <v>APS SANTA VITÓRIA DO PALMAR</v>
      </c>
      <c r="AJ11" s="74">
        <f>VLOOKUP(AI11,Unidades!D$5:H$27,5,)</f>
        <v>0.2979</v>
      </c>
      <c r="AK11" s="72">
        <f t="shared" si="17"/>
        <v>1084.040274209244</v>
      </c>
      <c r="AL11" s="72">
        <f t="shared" si="18"/>
        <v>1158.5064816031982</v>
      </c>
      <c r="AM11" s="72">
        <f t="shared" si="19"/>
        <v>1121.2733779062212</v>
      </c>
      <c r="AN11" s="72">
        <f t="shared" si="20"/>
        <v>1121.2733779062212</v>
      </c>
      <c r="AO11" s="72">
        <f t="shared" si="21"/>
        <v>1750.5274458868655</v>
      </c>
      <c r="AP11" s="72">
        <f t="shared" si="22"/>
        <v>5251.5823376605967</v>
      </c>
      <c r="AQ11" s="72">
        <f t="shared" si="23"/>
        <v>7002.109783547462</v>
      </c>
      <c r="AR11" s="76"/>
      <c r="AS11" s="98" t="s">
        <v>75</v>
      </c>
      <c r="AT11" s="255">
        <f>AT10*12</f>
        <v>128132.62672897885</v>
      </c>
      <c r="AU11" s="255"/>
      <c r="AV11" s="75"/>
      <c r="AW11" s="75"/>
    </row>
    <row r="12" spans="2:66" ht="15" customHeight="1">
      <c r="B12" s="63" t="s">
        <v>216</v>
      </c>
      <c r="C12" s="59">
        <f>VLOOKUP($B12,Unidades!$D$5:$N$27,6,FALSE())</f>
        <v>334.4</v>
      </c>
      <c r="D12" s="59">
        <f>VLOOKUP($B12,Unidades!$D$5:$N$27,7,FALSE())</f>
        <v>296</v>
      </c>
      <c r="E12" s="59">
        <f>VLOOKUP($B12,Unidades!$D$5:$N$27,8,FALSE())</f>
        <v>38.4</v>
      </c>
      <c r="F12" s="59">
        <f>VLOOKUP($B12,Unidades!$D$5:$N$27,9,FALSE())</f>
        <v>0</v>
      </c>
      <c r="G12" s="59">
        <f t="shared" si="0"/>
        <v>309.44</v>
      </c>
      <c r="H12" s="60">
        <f t="shared" si="1"/>
        <v>1.5</v>
      </c>
      <c r="I12" s="60">
        <f t="shared" si="2"/>
        <v>1.7999999999999998</v>
      </c>
      <c r="J12" s="60" t="str">
        <f>VLOOKUP($B12,Unidades!$D$5:$N$27,10,FALSE())</f>
        <v>NÃO</v>
      </c>
      <c r="K12" s="60" t="str">
        <f>VLOOKUP($B12,Unidades!$D$5:$N$27,11,FALSE())</f>
        <v>NÃO</v>
      </c>
      <c r="L12" s="60">
        <f t="shared" si="3"/>
        <v>1.6500000000000001</v>
      </c>
      <c r="M12" s="60">
        <f t="shared" si="4"/>
        <v>1.6500000000000001</v>
      </c>
      <c r="N12" s="60">
        <f t="shared" si="5"/>
        <v>30.15</v>
      </c>
      <c r="O12" s="61">
        <f t="shared" si="6"/>
        <v>1360.3680000000002</v>
      </c>
      <c r="P12" s="32"/>
      <c r="Q12" s="63" t="str">
        <f t="shared" si="7"/>
        <v>APS SÃO JOSÉ DO NORTE</v>
      </c>
      <c r="R12" s="6">
        <f t="shared" si="8"/>
        <v>67.680000000000007</v>
      </c>
      <c r="S12" s="6">
        <f t="shared" si="9"/>
        <v>81.215999999999994</v>
      </c>
      <c r="T12" s="6">
        <f t="shared" si="10"/>
        <v>74.448000000000008</v>
      </c>
      <c r="U12" s="6">
        <f t="shared" si="11"/>
        <v>74.448000000000008</v>
      </c>
      <c r="V12" s="6">
        <f>VLOOKUP(Q12,'Desl. Base Pelotas'!$C$5:$S$13,13,FALSE())*($C$19+$D$19+$E$19*(VLOOKUP(Q12,'Desl. Base Pelotas'!$C$5:$S$13,17,FALSE())/12))</f>
        <v>92.531743055555566</v>
      </c>
      <c r="W12" s="6">
        <f>VLOOKUP(Q12,'Desl. Base Pelotas'!$C$5:$S$13,15,FALSE())*(2+(VLOOKUP(Q12,'Desl. Base Pelotas'!$C$5:$S$13,17,FALSE())/12))</f>
        <v>0</v>
      </c>
      <c r="X12" s="6">
        <f>VLOOKUP(Q12,'Desl. Base Pelotas'!$C$5:$Q$13,14,FALSE())</f>
        <v>15.2</v>
      </c>
      <c r="Y12" s="6">
        <f>VLOOKUP(Q12,'Desl. Base Pelotas'!$C$5:Q$13,13,FALSE())*'Desl. Base Pelotas'!$E$18+'Desl. Base Pelotas'!$E$19*N12/12</f>
        <v>115.613125</v>
      </c>
      <c r="Z12" s="6">
        <f>(H12/$AC$5)*'Equipe Técnica'!$C$13</f>
        <v>219.19189842805315</v>
      </c>
      <c r="AA12" s="6">
        <f>(I12/$AC$5)*'Equipe Técnica'!$C$13</f>
        <v>263.03027811366377</v>
      </c>
      <c r="AB12" s="6">
        <f>(L12/$AC$5)*'Equipe Técnica'!$C$13</f>
        <v>241.11108827085849</v>
      </c>
      <c r="AC12" s="6">
        <f>(M12/$AC$5)*'Equipe Técnica'!$C$13</f>
        <v>241.11108827085849</v>
      </c>
      <c r="AD12" s="6">
        <f t="shared" si="12"/>
        <v>427.93181509471981</v>
      </c>
      <c r="AE12" s="6">
        <f t="shared" si="13"/>
        <v>485.30619478033043</v>
      </c>
      <c r="AF12" s="6">
        <f t="shared" si="14"/>
        <v>456.61900493752518</v>
      </c>
      <c r="AG12" s="6">
        <f t="shared" si="15"/>
        <v>456.61900493752518</v>
      </c>
      <c r="AH12" s="33"/>
      <c r="AI12" s="63" t="str">
        <f t="shared" si="16"/>
        <v>APS SÃO JOSÉ DO NORTE</v>
      </c>
      <c r="AJ12" s="74">
        <f>VLOOKUP(AI12,Unidades!D$5:H$27,5,)</f>
        <v>0.31269999999999998</v>
      </c>
      <c r="AK12" s="72">
        <f t="shared" si="17"/>
        <v>561.74609367483868</v>
      </c>
      <c r="AL12" s="72">
        <f t="shared" si="18"/>
        <v>637.06144188813971</v>
      </c>
      <c r="AM12" s="72">
        <f t="shared" si="19"/>
        <v>599.40376778148925</v>
      </c>
      <c r="AN12" s="72">
        <f t="shared" si="20"/>
        <v>599.40376778148925</v>
      </c>
      <c r="AO12" s="72">
        <f t="shared" si="21"/>
        <v>923.95084958292421</v>
      </c>
      <c r="AP12" s="72">
        <f t="shared" si="22"/>
        <v>2771.8525487487727</v>
      </c>
      <c r="AQ12" s="72">
        <f t="shared" si="23"/>
        <v>3695.8033983316968</v>
      </c>
      <c r="AR12" s="76"/>
      <c r="AS12" s="98" t="s">
        <v>65</v>
      </c>
      <c r="AT12" s="255">
        <f>AT10*3</f>
        <v>32033.156682244713</v>
      </c>
      <c r="AU12" s="255"/>
      <c r="AV12" s="76"/>
      <c r="AW12" s="76"/>
    </row>
    <row r="13" spans="2:66" ht="15" customHeight="1">
      <c r="B13" s="63" t="s">
        <v>218</v>
      </c>
      <c r="C13" s="59">
        <f>VLOOKUP($B13,Unidades!$D$5:$N$27,6,FALSE())</f>
        <v>740.65</v>
      </c>
      <c r="D13" s="59">
        <f>VLOOKUP($B13,Unidades!$D$5:$N$27,7,FALSE())</f>
        <v>631.05999999999995</v>
      </c>
      <c r="E13" s="59">
        <f>VLOOKUP($B13,Unidades!$D$5:$N$27,8,FALSE())</f>
        <v>109.59</v>
      </c>
      <c r="F13" s="59">
        <f>VLOOKUP($B13,Unidades!$D$5:$N$27,9,FALSE())</f>
        <v>0</v>
      </c>
      <c r="G13" s="59">
        <f t="shared" si="0"/>
        <v>669.41649999999993</v>
      </c>
      <c r="H13" s="60">
        <f t="shared" si="1"/>
        <v>1.5</v>
      </c>
      <c r="I13" s="60">
        <f t="shared" si="2"/>
        <v>1.7999999999999998</v>
      </c>
      <c r="J13" s="60" t="str">
        <f>VLOOKUP($B13,Unidades!$D$5:$N$27,10,FALSE())</f>
        <v>NÃO</v>
      </c>
      <c r="K13" s="60" t="str">
        <f>VLOOKUP($B13,Unidades!$D$5:$N$27,11,FALSE())</f>
        <v>NÃO</v>
      </c>
      <c r="L13" s="60">
        <f t="shared" si="3"/>
        <v>1.6500000000000001</v>
      </c>
      <c r="M13" s="60">
        <f t="shared" si="4"/>
        <v>1.6500000000000001</v>
      </c>
      <c r="N13" s="60">
        <f t="shared" si="5"/>
        <v>30.15</v>
      </c>
      <c r="O13" s="61">
        <f t="shared" si="6"/>
        <v>1360.3680000000002</v>
      </c>
      <c r="P13" s="32"/>
      <c r="Q13" s="63" t="str">
        <f t="shared" si="7"/>
        <v>APS SÃO LOURENÇO DO SUL</v>
      </c>
      <c r="R13" s="6">
        <f t="shared" si="8"/>
        <v>67.680000000000007</v>
      </c>
      <c r="S13" s="6">
        <f t="shared" si="9"/>
        <v>81.215999999999994</v>
      </c>
      <c r="T13" s="6">
        <f t="shared" si="10"/>
        <v>74.448000000000008</v>
      </c>
      <c r="U13" s="6">
        <f t="shared" si="11"/>
        <v>74.448000000000008</v>
      </c>
      <c r="V13" s="6">
        <f>VLOOKUP(Q13,'Desl. Base Pelotas'!$C$5:$S$13,13,FALSE())*($C$19+$D$19+$E$19*(VLOOKUP(Q13,'Desl. Base Pelotas'!$C$5:$S$13,17,FALSE())/12))</f>
        <v>93.248000000000019</v>
      </c>
      <c r="W13" s="6">
        <f>VLOOKUP(Q13,'Desl. Base Pelotas'!$C$5:$S$13,15,FALSE())*(2+(VLOOKUP(Q13,'Desl. Base Pelotas'!$C$5:$S$13,17,FALSE())/12))</f>
        <v>0</v>
      </c>
      <c r="X13" s="6">
        <f>VLOOKUP(Q13,'Desl. Base Pelotas'!$C$5:$Q$13,14,FALSE())</f>
        <v>30.4</v>
      </c>
      <c r="Y13" s="6">
        <f>VLOOKUP(Q13,'Desl. Base Pelotas'!$C$5:Q$13,13,FALSE())*'Desl. Base Pelotas'!$E$18+'Desl. Base Pelotas'!$E$19*N13/12</f>
        <v>121.93187499999999</v>
      </c>
      <c r="Z13" s="6">
        <f>(H13/$AC$5)*'Equipe Técnica'!$C$13</f>
        <v>219.19189842805315</v>
      </c>
      <c r="AA13" s="6">
        <f>(I13/$AC$5)*'Equipe Técnica'!$C$13</f>
        <v>263.03027811366377</v>
      </c>
      <c r="AB13" s="6">
        <f>(L13/$AC$5)*'Equipe Técnica'!$C$13</f>
        <v>241.11108827085849</v>
      </c>
      <c r="AC13" s="6">
        <f>(M13/$AC$5)*'Equipe Técnica'!$C$13</f>
        <v>241.11108827085849</v>
      </c>
      <c r="AD13" s="6">
        <f t="shared" si="12"/>
        <v>441.97497737542159</v>
      </c>
      <c r="AE13" s="6">
        <f t="shared" si="13"/>
        <v>499.34935706103221</v>
      </c>
      <c r="AF13" s="6">
        <f t="shared" si="14"/>
        <v>470.66216721822695</v>
      </c>
      <c r="AG13" s="6">
        <f t="shared" si="15"/>
        <v>470.66216721822695</v>
      </c>
      <c r="AH13" s="33"/>
      <c r="AI13" s="63" t="str">
        <f t="shared" si="16"/>
        <v>APS SÃO LOURENÇO DO SUL</v>
      </c>
      <c r="AJ13" s="74">
        <f>VLOOKUP(AI13,Unidades!D$5:H$27,5,)</f>
        <v>0.28349999999999997</v>
      </c>
      <c r="AK13" s="72">
        <f t="shared" si="17"/>
        <v>567.27488346135362</v>
      </c>
      <c r="AL13" s="72">
        <f t="shared" si="18"/>
        <v>640.91489978783488</v>
      </c>
      <c r="AM13" s="72">
        <f t="shared" si="19"/>
        <v>604.09489162459431</v>
      </c>
      <c r="AN13" s="72">
        <f t="shared" si="20"/>
        <v>604.09489162459431</v>
      </c>
      <c r="AO13" s="72">
        <f t="shared" si="21"/>
        <v>931.93690629678042</v>
      </c>
      <c r="AP13" s="72">
        <f t="shared" si="22"/>
        <v>2795.8107188903414</v>
      </c>
      <c r="AQ13" s="72">
        <f t="shared" si="23"/>
        <v>3727.7476251871217</v>
      </c>
      <c r="AR13" s="76"/>
      <c r="AS13" s="98" t="s">
        <v>76</v>
      </c>
      <c r="AT13" s="255">
        <f>AT12*12</f>
        <v>384397.88018693659</v>
      </c>
      <c r="AU13" s="255"/>
      <c r="AV13" s="75"/>
      <c r="AW13" s="75"/>
    </row>
    <row r="14" spans="2:66" ht="15" customHeight="1">
      <c r="B14" s="63" t="s">
        <v>220</v>
      </c>
      <c r="C14" s="59">
        <f>VLOOKUP($B14,Unidades!$D$5:$N$27,6,FALSE())</f>
        <v>334.4</v>
      </c>
      <c r="D14" s="59">
        <f>VLOOKUP($B14,Unidades!$D$5:$N$27,7,FALSE())</f>
        <v>296</v>
      </c>
      <c r="E14" s="59">
        <f>VLOOKUP($B14,Unidades!$D$5:$N$27,8,FALSE())</f>
        <v>38.4</v>
      </c>
      <c r="F14" s="59">
        <f>VLOOKUP($B14,Unidades!$D$5:$N$27,9,FALSE())</f>
        <v>0</v>
      </c>
      <c r="G14" s="59">
        <f t="shared" si="0"/>
        <v>309.44</v>
      </c>
      <c r="H14" s="60">
        <f t="shared" si="1"/>
        <v>1.5</v>
      </c>
      <c r="I14" s="60">
        <f t="shared" si="2"/>
        <v>1.7999999999999998</v>
      </c>
      <c r="J14" s="60" t="str">
        <f>VLOOKUP($B14,Unidades!$D$5:$N$27,10,FALSE())</f>
        <v>NÃO</v>
      </c>
      <c r="K14" s="60" t="str">
        <f>VLOOKUP($B14,Unidades!$D$5:$N$27,11,FALSE())</f>
        <v>NÃO</v>
      </c>
      <c r="L14" s="60">
        <f t="shared" si="3"/>
        <v>1.6500000000000001</v>
      </c>
      <c r="M14" s="60">
        <f t="shared" si="4"/>
        <v>1.6500000000000001</v>
      </c>
      <c r="N14" s="60">
        <f t="shared" si="5"/>
        <v>30.15</v>
      </c>
      <c r="O14" s="61">
        <f t="shared" si="6"/>
        <v>1360.3680000000002</v>
      </c>
      <c r="P14" s="32"/>
      <c r="Q14" s="63" t="str">
        <f t="shared" si="7"/>
        <v>APS TAPES</v>
      </c>
      <c r="R14" s="6">
        <f t="shared" si="8"/>
        <v>67.680000000000007</v>
      </c>
      <c r="S14" s="6">
        <f t="shared" si="9"/>
        <v>81.215999999999994</v>
      </c>
      <c r="T14" s="6">
        <f t="shared" si="10"/>
        <v>74.448000000000008</v>
      </c>
      <c r="U14" s="6">
        <f t="shared" si="11"/>
        <v>74.448000000000008</v>
      </c>
      <c r="V14" s="6">
        <f>VLOOKUP(Q14,'Desl. Base Pelotas'!$C$5:$S$13,13,FALSE())*($C$19+$D$19+$E$19*(VLOOKUP(Q14,'Desl. Base Pelotas'!$C$5:$S$13,17,FALSE())/12))</f>
        <v>130.65640972222224</v>
      </c>
      <c r="W14" s="6">
        <f>VLOOKUP(Q14,'Desl. Base Pelotas'!$C$5:$S$13,15,FALSE())*(2+(VLOOKUP(Q14,'Desl. Base Pelotas'!$C$5:$S$13,17,FALSE())/12))</f>
        <v>138.27083333333334</v>
      </c>
      <c r="X14" s="6">
        <f>VLOOKUP(Q14,'Desl. Base Pelotas'!$C$5:$Q$13,14,FALSE())</f>
        <v>30.4</v>
      </c>
      <c r="Y14" s="6">
        <f>VLOOKUP(Q14,'Desl. Base Pelotas'!$C$5:Q$13,13,FALSE())*'Desl. Base Pelotas'!$E$18+'Desl. Base Pelotas'!$E$19*N14/12</f>
        <v>156.05312499999999</v>
      </c>
      <c r="Z14" s="6">
        <f>(H14/$AC$5)*'Equipe Técnica'!$C$13</f>
        <v>219.19189842805315</v>
      </c>
      <c r="AA14" s="6">
        <f>(I14/$AC$5)*'Equipe Técnica'!$C$13</f>
        <v>263.03027811366377</v>
      </c>
      <c r="AB14" s="6">
        <f>(L14/$AC$5)*'Equipe Técnica'!$C$13</f>
        <v>241.11108827085849</v>
      </c>
      <c r="AC14" s="6">
        <f>(M14/$AC$5)*'Equipe Técnica'!$C$13</f>
        <v>241.11108827085849</v>
      </c>
      <c r="AD14" s="6">
        <f t="shared" si="12"/>
        <v>574.48055193682512</v>
      </c>
      <c r="AE14" s="6">
        <f t="shared" si="13"/>
        <v>631.85493162243574</v>
      </c>
      <c r="AF14" s="6">
        <f t="shared" si="14"/>
        <v>603.16774177963043</v>
      </c>
      <c r="AG14" s="6">
        <f t="shared" si="15"/>
        <v>603.16774177963043</v>
      </c>
      <c r="AH14" s="33"/>
      <c r="AI14" s="63" t="str">
        <f t="shared" si="16"/>
        <v>APS TAPES</v>
      </c>
      <c r="AJ14" s="74">
        <f>VLOOKUP(AI14,Unidades!D$5:H$27,5,)</f>
        <v>0.28349999999999997</v>
      </c>
      <c r="AK14" s="72">
        <f t="shared" si="17"/>
        <v>737.34578841091513</v>
      </c>
      <c r="AL14" s="72">
        <f t="shared" si="18"/>
        <v>810.98580473739628</v>
      </c>
      <c r="AM14" s="72">
        <f t="shared" si="19"/>
        <v>774.16579657415571</v>
      </c>
      <c r="AN14" s="72">
        <f t="shared" si="20"/>
        <v>774.16579657415571</v>
      </c>
      <c r="AO14" s="72">
        <f t="shared" si="21"/>
        <v>1201.2158391335863</v>
      </c>
      <c r="AP14" s="72">
        <f t="shared" si="22"/>
        <v>3603.6475174007592</v>
      </c>
      <c r="AQ14" s="72">
        <f t="shared" si="23"/>
        <v>4804.8633565343453</v>
      </c>
      <c r="AR14" s="76"/>
      <c r="AS14" s="98" t="s">
        <v>77</v>
      </c>
      <c r="AT14" s="255">
        <f>AT10+AT12</f>
        <v>42710.875576326282</v>
      </c>
      <c r="AU14" s="255"/>
      <c r="AV14" s="75"/>
      <c r="AW14" s="75"/>
    </row>
    <row r="15" spans="2:66" ht="15" customHeight="1">
      <c r="B15" s="63" t="s">
        <v>222</v>
      </c>
      <c r="C15" s="59">
        <f>VLOOKUP($B15,Unidades!$D$5:$N$27,6,FALSE())</f>
        <v>4965.68</v>
      </c>
      <c r="D15" s="59">
        <f>VLOOKUP($B15,Unidades!$D$5:$N$27,7,FALSE())</f>
        <v>3104.81</v>
      </c>
      <c r="E15" s="59">
        <f>VLOOKUP($B15,Unidades!$D$5:$N$27,8,FALSE())</f>
        <v>1100.6199999999999</v>
      </c>
      <c r="F15" s="59">
        <f>VLOOKUP($B15,Unidades!$D$5:$N$27,9,FALSE())</f>
        <v>760.25</v>
      </c>
      <c r="G15" s="59">
        <f t="shared" si="0"/>
        <v>3566.0520000000001</v>
      </c>
      <c r="H15" s="60">
        <f t="shared" si="1"/>
        <v>3</v>
      </c>
      <c r="I15" s="60">
        <f t="shared" si="2"/>
        <v>3.5999999999999996</v>
      </c>
      <c r="J15" s="60" t="str">
        <f>VLOOKUP($B15,Unidades!$D$5:$N$27,10,FALSE())</f>
        <v>NÃO</v>
      </c>
      <c r="K15" s="60" t="str">
        <f>VLOOKUP($B15,Unidades!$D$5:$N$27,11,FALSE())</f>
        <v>SIM</v>
      </c>
      <c r="L15" s="60">
        <f t="shared" si="3"/>
        <v>3.3000000000000003</v>
      </c>
      <c r="M15" s="60">
        <f t="shared" si="4"/>
        <v>7.3000000000000007</v>
      </c>
      <c r="N15" s="60">
        <f t="shared" si="5"/>
        <v>64.3</v>
      </c>
      <c r="O15" s="61">
        <f t="shared" si="6"/>
        <v>3123.3550000000005</v>
      </c>
      <c r="P15" s="32"/>
      <c r="Q15" s="63" t="str">
        <f t="shared" si="7"/>
        <v>GEX/APS PELOTAS</v>
      </c>
      <c r="R15" s="6">
        <f t="shared" si="8"/>
        <v>135.36000000000001</v>
      </c>
      <c r="S15" s="6">
        <f t="shared" si="9"/>
        <v>162.43199999999999</v>
      </c>
      <c r="T15" s="6">
        <f t="shared" si="10"/>
        <v>148.89600000000002</v>
      </c>
      <c r="U15" s="6">
        <f t="shared" si="11"/>
        <v>551.5150000000001</v>
      </c>
      <c r="V15" s="6">
        <f>VLOOKUP(Q15,'Desl. Base Pelotas'!$C$5:$S$13,13,FALSE())*($C$19+$D$19+$E$19*(VLOOKUP(Q15,'Desl. Base Pelotas'!$C$5:$S$13,17,FALSE())/12))</f>
        <v>19.459465277777781</v>
      </c>
      <c r="W15" s="6">
        <f>VLOOKUP(Q15,'Desl. Base Pelotas'!$C$5:$S$13,15,FALSE())*(2+(VLOOKUP(Q15,'Desl. Base Pelotas'!$C$5:$S$13,17,FALSE())/12))</f>
        <v>0</v>
      </c>
      <c r="X15" s="6">
        <f>VLOOKUP(Q15,'Desl. Base Pelotas'!$C$5:$Q$13,14,FALSE())</f>
        <v>0</v>
      </c>
      <c r="Y15" s="6">
        <f>VLOOKUP(Q15,'Desl. Base Pelotas'!$C$5:Q$13,13,FALSE())*'Desl. Base Pelotas'!$E$18+'Desl. Base Pelotas'!$E$19*N15/12</f>
        <v>57.881666666666668</v>
      </c>
      <c r="Z15" s="6">
        <f>(H15/$AC$5)*'Equipe Técnica'!$C$13</f>
        <v>438.3837968561063</v>
      </c>
      <c r="AA15" s="6">
        <f>(I15/$AC$5)*'Equipe Técnica'!$C$13</f>
        <v>526.06055622732754</v>
      </c>
      <c r="AB15" s="6">
        <f>(L15/$AC$5)*'Equipe Técnica'!$C$13</f>
        <v>482.22217654171698</v>
      </c>
      <c r="AC15" s="6">
        <f>(M15/$AC$5)*'Equipe Técnica'!$C$13</f>
        <v>1066.7339056831922</v>
      </c>
      <c r="AD15" s="6">
        <f t="shared" si="12"/>
        <v>622.59082755786073</v>
      </c>
      <c r="AE15" s="6">
        <f t="shared" si="13"/>
        <v>737.33958692908186</v>
      </c>
      <c r="AF15" s="6">
        <f t="shared" si="14"/>
        <v>679.96520724347135</v>
      </c>
      <c r="AG15" s="6">
        <f t="shared" si="15"/>
        <v>1667.0959363849468</v>
      </c>
      <c r="AH15" s="33"/>
      <c r="AI15" s="63" t="str">
        <f t="shared" si="16"/>
        <v>GEX/APS PELOTAS</v>
      </c>
      <c r="AJ15" s="74">
        <f>VLOOKUP(AI15,Unidades!D$5:H$27,5,)</f>
        <v>0.30530000000000002</v>
      </c>
      <c r="AK15" s="72">
        <f t="shared" si="17"/>
        <v>812.66780721127554</v>
      </c>
      <c r="AL15" s="72">
        <f t="shared" si="18"/>
        <v>962.44936281853052</v>
      </c>
      <c r="AM15" s="72">
        <f t="shared" si="19"/>
        <v>887.55858501490309</v>
      </c>
      <c r="AN15" s="72">
        <f t="shared" si="20"/>
        <v>2176.0603257632706</v>
      </c>
      <c r="AO15" s="72">
        <f t="shared" si="21"/>
        <v>1462.7490528002088</v>
      </c>
      <c r="AP15" s="72">
        <f t="shared" si="22"/>
        <v>4388.2471584006262</v>
      </c>
      <c r="AQ15" s="72">
        <f t="shared" si="23"/>
        <v>5850.9962112008352</v>
      </c>
      <c r="AR15" s="76"/>
      <c r="AS15" s="98" t="s">
        <v>78</v>
      </c>
      <c r="AT15" s="255">
        <f>AT11+AT13</f>
        <v>512530.50691591541</v>
      </c>
      <c r="AU15" s="255"/>
      <c r="AV15" s="76"/>
      <c r="AW15" s="76"/>
    </row>
    <row r="16" spans="2:66" s="50" customFormat="1" ht="20.100000000000001" customHeight="1">
      <c r="B16" s="159" t="s">
        <v>79</v>
      </c>
      <c r="C16" s="91">
        <f t="shared" ref="C16:I16" si="24">SUM(C7:C15)</f>
        <v>10437.5</v>
      </c>
      <c r="D16" s="91">
        <f t="shared" si="24"/>
        <v>7162.0599999999995</v>
      </c>
      <c r="E16" s="91">
        <f t="shared" si="24"/>
        <v>2024.4899999999998</v>
      </c>
      <c r="F16" s="91">
        <f t="shared" si="24"/>
        <v>1929.9099999999999</v>
      </c>
      <c r="G16" s="91">
        <f t="shared" si="24"/>
        <v>8063.6224999999995</v>
      </c>
      <c r="H16" s="92">
        <f t="shared" si="24"/>
        <v>15.5</v>
      </c>
      <c r="I16" s="92">
        <f t="shared" si="24"/>
        <v>18.600000000000001</v>
      </c>
      <c r="J16" s="92">
        <f>COUNTIF(J7:J15,"SIM")</f>
        <v>0</v>
      </c>
      <c r="K16" s="92">
        <f>COUNTIF(K7:K15,"SIM")</f>
        <v>4</v>
      </c>
      <c r="L16" s="92">
        <f>SUM(L7:L15)</f>
        <v>17.05</v>
      </c>
      <c r="M16" s="92">
        <f>SUM(M7:M15)</f>
        <v>33.049999999999997</v>
      </c>
      <c r="N16" s="92">
        <f>SUM(N7:N15)</f>
        <v>327.55</v>
      </c>
      <c r="O16" s="93">
        <f>SUM(O7:O15)</f>
        <v>15533.720000000001</v>
      </c>
      <c r="P16" s="49"/>
      <c r="Q16" s="99" t="s">
        <v>79</v>
      </c>
      <c r="R16" s="96">
        <f t="shared" ref="R16:AG16" si="25">SUM(R7:R15)</f>
        <v>699.36</v>
      </c>
      <c r="S16" s="96">
        <f t="shared" si="25"/>
        <v>839.23199999999997</v>
      </c>
      <c r="T16" s="96">
        <f t="shared" si="25"/>
        <v>769.29600000000005</v>
      </c>
      <c r="U16" s="96">
        <f t="shared" si="25"/>
        <v>2245.880000000001</v>
      </c>
      <c r="V16" s="96">
        <f t="shared" si="25"/>
        <v>1004.6518611111112</v>
      </c>
      <c r="W16" s="96">
        <f t="shared" si="25"/>
        <v>542.02166666666676</v>
      </c>
      <c r="X16" s="96">
        <f t="shared" si="25"/>
        <v>152</v>
      </c>
      <c r="Y16" s="96">
        <f t="shared" si="25"/>
        <v>1276.5310416666666</v>
      </c>
      <c r="Z16" s="96">
        <f t="shared" si="25"/>
        <v>2264.9829504232166</v>
      </c>
      <c r="AA16" s="96">
        <f t="shared" si="25"/>
        <v>2717.9795405078594</v>
      </c>
      <c r="AB16" s="96">
        <f t="shared" si="25"/>
        <v>2491.481245465538</v>
      </c>
      <c r="AC16" s="96">
        <f t="shared" si="25"/>
        <v>4829.528162031439</v>
      </c>
      <c r="AD16" s="96">
        <f t="shared" si="25"/>
        <v>4843.4195205986543</v>
      </c>
      <c r="AE16" s="96">
        <f t="shared" si="25"/>
        <v>5436.2881106832974</v>
      </c>
      <c r="AF16" s="96">
        <f t="shared" si="25"/>
        <v>5139.8538156409759</v>
      </c>
      <c r="AG16" s="96">
        <f t="shared" si="25"/>
        <v>8954.4847322068781</v>
      </c>
      <c r="AH16" s="23"/>
      <c r="AI16" s="256" t="s">
        <v>79</v>
      </c>
      <c r="AJ16" s="256"/>
      <c r="AK16" s="97">
        <f t="shared" ref="AK16:AQ16" si="26">SUM(AK7:AK15)</f>
        <v>6262.2375128855037</v>
      </c>
      <c r="AL16" s="97">
        <f t="shared" si="26"/>
        <v>7029.2889822576926</v>
      </c>
      <c r="AM16" s="97">
        <f t="shared" si="26"/>
        <v>6645.7632475715991</v>
      </c>
      <c r="AN16" s="97">
        <f t="shared" si="26"/>
        <v>11577.094150178855</v>
      </c>
      <c r="AO16" s="97">
        <f t="shared" si="26"/>
        <v>10677.718894081574</v>
      </c>
      <c r="AP16" s="97">
        <f t="shared" si="26"/>
        <v>32033.15668224472</v>
      </c>
      <c r="AQ16" s="97">
        <f t="shared" si="26"/>
        <v>42710.875576326296</v>
      </c>
      <c r="AR16" s="76"/>
      <c r="AS16" s="76"/>
      <c r="AT16" s="76"/>
      <c r="AU16" s="76"/>
      <c r="AV16" s="76"/>
      <c r="AW16" s="76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</row>
    <row r="17" spans="2:49" ht="18.399999999999999" customHeight="1">
      <c r="B17" s="5"/>
      <c r="C17" s="5"/>
      <c r="D17" s="5"/>
      <c r="E17" s="5"/>
      <c r="F17" s="5"/>
      <c r="G17" s="5"/>
      <c r="H17" s="36"/>
      <c r="I17" s="5"/>
      <c r="J17" s="5"/>
      <c r="O17" s="5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D17" s="27"/>
      <c r="AE17" s="27"/>
      <c r="AF17" s="27"/>
      <c r="AG17" s="27"/>
      <c r="AH17" s="27"/>
      <c r="AS17" s="34"/>
      <c r="AT17" s="34"/>
      <c r="AU17" s="34"/>
      <c r="AV17" s="34"/>
      <c r="AW17" s="34"/>
    </row>
    <row r="18" spans="2:49" ht="40.35" customHeight="1">
      <c r="B18" s="252" t="s">
        <v>23</v>
      </c>
      <c r="C18" s="88" t="str">
        <f>'Base Porto Alegre'!C23</f>
        <v>Oficial de Manutenção Predial</v>
      </c>
      <c r="D18" s="88" t="str">
        <f>'Base Porto Alegre'!D23</f>
        <v>Ajudante (ref. SINAPI/88241)</v>
      </c>
      <c r="E18" s="155" t="str">
        <f>'Base Porto Alegre'!E23</f>
        <v>Eletrotécnico (ref. SINAPI/88266)</v>
      </c>
      <c r="N18" s="277"/>
      <c r="O18" s="154"/>
      <c r="R18" s="146"/>
      <c r="Z18" s="146"/>
      <c r="AA18" s="146"/>
      <c r="AB18" s="146"/>
      <c r="AC18" s="146"/>
    </row>
    <row r="19" spans="2:49" ht="18.399999999999999" customHeight="1">
      <c r="B19" s="252"/>
      <c r="C19" s="6">
        <f>'Base Porto Alegre'!C24</f>
        <v>24.41</v>
      </c>
      <c r="D19" s="6">
        <f>'Base Porto Alegre'!D24</f>
        <v>20.71</v>
      </c>
      <c r="E19" s="6">
        <f>'Base Porto Alegre'!E24</f>
        <v>30.43</v>
      </c>
      <c r="N19" s="277"/>
      <c r="O19" s="154"/>
    </row>
    <row r="20" spans="2:49" ht="40.5" customHeight="1">
      <c r="B20" s="25" t="str">
        <f>'Base Porto Alegre'!B25</f>
        <v>* Tabela SINAPI Outubro/2023 (Não Desonerado)</v>
      </c>
      <c r="N20" s="154"/>
      <c r="O20" s="154"/>
    </row>
    <row r="21" spans="2:49">
      <c r="N21" s="154"/>
      <c r="O21" s="154"/>
    </row>
    <row r="22" spans="2:49">
      <c r="N22" s="154"/>
      <c r="O22" s="154"/>
    </row>
    <row r="23" spans="2:49" ht="15.75" customHeight="1">
      <c r="N23" s="154"/>
      <c r="O23" s="154"/>
    </row>
    <row r="24" spans="2:49">
      <c r="N24" s="154"/>
      <c r="O24" s="154"/>
    </row>
    <row r="25" spans="2:49">
      <c r="N25" s="154"/>
      <c r="O25" s="154"/>
    </row>
    <row r="26" spans="2:49">
      <c r="N26" s="154"/>
      <c r="O26" s="154"/>
    </row>
    <row r="27" spans="2:49">
      <c r="N27" s="154"/>
      <c r="O27" s="154"/>
    </row>
    <row r="28" spans="2:49">
      <c r="N28" s="154"/>
      <c r="O28" s="154"/>
    </row>
    <row r="65526" ht="12.75" customHeight="1"/>
    <row r="65527" ht="12.75" customHeight="1"/>
    <row r="65528" ht="12.75" customHeight="1"/>
  </sheetData>
  <mergeCells count="45">
    <mergeCell ref="AT11:AU11"/>
    <mergeCell ref="AT12:AU12"/>
    <mergeCell ref="B18:B19"/>
    <mergeCell ref="AT13:AU13"/>
    <mergeCell ref="AT14:AU14"/>
    <mergeCell ref="AT15:AU15"/>
    <mergeCell ref="AI16:AJ16"/>
    <mergeCell ref="N18:N19"/>
    <mergeCell ref="AL5:AL6"/>
    <mergeCell ref="AM5:AM6"/>
    <mergeCell ref="Z5:AB5"/>
    <mergeCell ref="B2:O2"/>
    <mergeCell ref="AT10:AU10"/>
    <mergeCell ref="AN5:AN6"/>
    <mergeCell ref="AO5:AO6"/>
    <mergeCell ref="AP5:AP6"/>
    <mergeCell ref="AQ5:AQ6"/>
    <mergeCell ref="AS5:AS6"/>
    <mergeCell ref="AO4:AQ4"/>
    <mergeCell ref="AE5:AE6"/>
    <mergeCell ref="AF5:AF6"/>
    <mergeCell ref="AG5:AG6"/>
    <mergeCell ref="AJ5:AJ6"/>
    <mergeCell ref="AK5:AK6"/>
    <mergeCell ref="V5:V6"/>
    <mergeCell ref="W5:W6"/>
    <mergeCell ref="X5:X6"/>
    <mergeCell ref="Y5:Y6"/>
    <mergeCell ref="AD5:AD6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S4:AW4"/>
    <mergeCell ref="G5:G6"/>
    <mergeCell ref="N5:N6"/>
  </mergeCells>
  <printOptions horizontalCentered="1"/>
  <pageMargins left="5.7638888888888899E-2" right="4.72222222222222E-2" top="0.33263888888888898" bottom="0.196527777777778" header="0.51180555555555496" footer="0.51180555555555496"/>
  <pageSetup paperSize="9" pageOrder="overThenDown" orientation="portrait" useFirstPageNumber="1" horizontalDpi="300" verticalDpi="300"/>
  <ignoredErrors>
    <ignoredError sqref="AD16 AK7:AN15 AK16:AN16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FF"/>
  </sheetPr>
  <dimension ref="B1:IW48"/>
  <sheetViews>
    <sheetView showGridLines="0" zoomScale="110" zoomScaleNormal="110" workbookViewId="0">
      <selection activeCell="N20" sqref="N20"/>
    </sheetView>
  </sheetViews>
  <sheetFormatPr defaultRowHeight="14.25"/>
  <cols>
    <col min="1" max="1" width="5.625" customWidth="1"/>
    <col min="2" max="2" width="12.625" style="51" customWidth="1"/>
    <col min="3" max="3" width="32.625" style="51" customWidth="1"/>
    <col min="4" max="17" width="9.625" style="51" customWidth="1"/>
    <col min="18" max="18" width="10.75" style="51" customWidth="1"/>
    <col min="19" max="19" width="13.875" style="51" customWidth="1"/>
    <col min="20" max="66" width="10.75" style="51" customWidth="1"/>
    <col min="67" max="257" width="10.75" style="38" customWidth="1"/>
    <col min="258" max="1024" width="10.625" customWidth="1"/>
  </cols>
  <sheetData>
    <row r="1" spans="2:19" ht="15" customHeight="1"/>
    <row r="2" spans="2:19" ht="24.95" customHeight="1">
      <c r="B2" s="232" t="str">
        <f>"DESLOCAMENTO BASE "&amp;Resumo!B6</f>
        <v>DESLOCAMENTO BASE PELOTAS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4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38.25">
      <c r="B4" s="10" t="s">
        <v>81</v>
      </c>
      <c r="C4" s="10" t="str">
        <f>"Rota (saída e retorno "&amp;Resumo!B6&amp;")"</f>
        <v>Rota (saída e retorno PELOTAS)</v>
      </c>
      <c r="D4" s="10" t="s">
        <v>82</v>
      </c>
      <c r="E4" s="10" t="s">
        <v>83</v>
      </c>
      <c r="F4" s="10" t="s">
        <v>84</v>
      </c>
      <c r="G4" s="10" t="s">
        <v>85</v>
      </c>
      <c r="H4" s="10" t="s">
        <v>86</v>
      </c>
      <c r="I4" s="10" t="s">
        <v>87</v>
      </c>
      <c r="J4" s="10" t="s">
        <v>88</v>
      </c>
      <c r="K4" s="10" t="s">
        <v>89</v>
      </c>
      <c r="L4" s="10" t="s">
        <v>90</v>
      </c>
      <c r="M4" s="39" t="s">
        <v>108</v>
      </c>
      <c r="N4" s="10" t="s">
        <v>92</v>
      </c>
      <c r="O4" s="10" t="s">
        <v>93</v>
      </c>
      <c r="P4" s="10" t="s">
        <v>94</v>
      </c>
      <c r="Q4" s="10" t="s">
        <v>59</v>
      </c>
      <c r="R4" s="203" t="s">
        <v>288</v>
      </c>
      <c r="S4" s="203" t="s">
        <v>289</v>
      </c>
    </row>
    <row r="5" spans="2:19" ht="15.95" customHeight="1">
      <c r="B5" s="266">
        <v>1</v>
      </c>
      <c r="C5" s="166" t="s">
        <v>222</v>
      </c>
      <c r="D5" s="258">
        <v>20.100000000000001</v>
      </c>
      <c r="E5" s="258">
        <v>21.1</v>
      </c>
      <c r="F5" s="258">
        <v>0</v>
      </c>
      <c r="G5" s="259">
        <f>SUM(D5:F6)</f>
        <v>41.2</v>
      </c>
      <c r="H5" s="258">
        <v>24</v>
      </c>
      <c r="I5" s="258">
        <v>25</v>
      </c>
      <c r="J5" s="258">
        <v>0</v>
      </c>
      <c r="K5" s="261">
        <f>SUM(H5:J6)</f>
        <v>49</v>
      </c>
      <c r="L5" s="262">
        <f>K5/60</f>
        <v>0.81666666666666665</v>
      </c>
      <c r="M5" s="264">
        <v>0</v>
      </c>
      <c r="N5" s="265">
        <v>2</v>
      </c>
      <c r="O5" s="41">
        <f>L5/N5</f>
        <v>0.40833333333333333</v>
      </c>
      <c r="P5" s="40">
        <v>0</v>
      </c>
      <c r="Q5" s="40">
        <v>0</v>
      </c>
      <c r="R5" s="204" t="str">
        <f>INDEX('Base Pelotas'!$K$7:$K$15,MATCH('Desl. Base Pelotas'!C5,'Base Pelotas'!$B$7:$B$15,0))</f>
        <v>SIM</v>
      </c>
      <c r="S5" s="204">
        <v>1</v>
      </c>
    </row>
    <row r="6" spans="2:19" ht="15.95" customHeight="1">
      <c r="B6" s="267"/>
      <c r="C6" s="166" t="s">
        <v>208</v>
      </c>
      <c r="D6" s="258"/>
      <c r="E6" s="258"/>
      <c r="F6" s="258"/>
      <c r="G6" s="259"/>
      <c r="H6" s="258"/>
      <c r="I6" s="258"/>
      <c r="J6" s="258"/>
      <c r="K6" s="261"/>
      <c r="L6" s="263"/>
      <c r="M6" s="264"/>
      <c r="N6" s="265"/>
      <c r="O6" s="41">
        <f>O5</f>
        <v>0.40833333333333333</v>
      </c>
      <c r="P6" s="40">
        <v>0</v>
      </c>
      <c r="Q6" s="40">
        <v>0</v>
      </c>
      <c r="R6" s="204" t="str">
        <f>INDEX('Base Pelotas'!$K$7:$K$15,MATCH('Desl. Base Pelotas'!C6,'Base Pelotas'!$B$7:$B$15,0))</f>
        <v>NÃO</v>
      </c>
      <c r="S6" s="204">
        <v>1</v>
      </c>
    </row>
    <row r="7" spans="2:19" ht="15.95" customHeight="1">
      <c r="B7" s="257">
        <v>2</v>
      </c>
      <c r="C7" s="166" t="s">
        <v>216</v>
      </c>
      <c r="D7" s="258">
        <v>75.7</v>
      </c>
      <c r="E7" s="258">
        <f>105-D7</f>
        <v>29.299999999999997</v>
      </c>
      <c r="F7" s="258">
        <v>61.5</v>
      </c>
      <c r="G7" s="259">
        <f>SUM(D7:F8)</f>
        <v>166.5</v>
      </c>
      <c r="H7" s="258">
        <v>102</v>
      </c>
      <c r="I7" s="258">
        <f>173-H7</f>
        <v>71</v>
      </c>
      <c r="J7" s="258">
        <v>60</v>
      </c>
      <c r="K7" s="261">
        <f>SUM(H7:J8)</f>
        <v>233</v>
      </c>
      <c r="L7" s="262">
        <f>K7/60</f>
        <v>3.8833333333333333</v>
      </c>
      <c r="M7" s="264">
        <v>30.4</v>
      </c>
      <c r="N7" s="265">
        <v>2</v>
      </c>
      <c r="O7" s="41">
        <f>L7/N7</f>
        <v>1.9416666666666667</v>
      </c>
      <c r="P7" s="52">
        <f>M7/N7</f>
        <v>15.2</v>
      </c>
      <c r="Q7" s="40">
        <v>0</v>
      </c>
      <c r="R7" s="204" t="str">
        <f>INDEX('Base Pelotas'!$K$7:$K$15,MATCH('Desl. Base Pelotas'!C7,'Base Pelotas'!$B$7:$B$15,0))</f>
        <v>NÃO</v>
      </c>
      <c r="S7" s="204">
        <v>1</v>
      </c>
    </row>
    <row r="8" spans="2:19" ht="15.95" customHeight="1">
      <c r="B8" s="257"/>
      <c r="C8" s="166" t="s">
        <v>212</v>
      </c>
      <c r="D8" s="258"/>
      <c r="E8" s="258"/>
      <c r="F8" s="258"/>
      <c r="G8" s="259"/>
      <c r="H8" s="258"/>
      <c r="I8" s="258"/>
      <c r="J8" s="258"/>
      <c r="K8" s="261"/>
      <c r="L8" s="263"/>
      <c r="M8" s="264"/>
      <c r="N8" s="265"/>
      <c r="O8" s="41">
        <f>O7</f>
        <v>1.9416666666666667</v>
      </c>
      <c r="P8" s="52">
        <f>P7</f>
        <v>15.2</v>
      </c>
      <c r="Q8" s="40">
        <v>0</v>
      </c>
      <c r="R8" s="204" t="str">
        <f>INDEX('Base Pelotas'!$K$7:$K$15,MATCH('Desl. Base Pelotas'!C8,'Base Pelotas'!$B$7:$B$15,0))</f>
        <v>SIM</v>
      </c>
      <c r="S8" s="204">
        <v>1</v>
      </c>
    </row>
    <row r="9" spans="2:19" ht="15.95" customHeight="1">
      <c r="B9" s="266">
        <v>3</v>
      </c>
      <c r="C9" s="166" t="s">
        <v>206</v>
      </c>
      <c r="D9" s="258">
        <v>94</v>
      </c>
      <c r="E9" s="258">
        <f>150-D9</f>
        <v>56</v>
      </c>
      <c r="F9" s="258">
        <v>185</v>
      </c>
      <c r="G9" s="259">
        <f t="shared" ref="G9" si="0">SUM(D9:F10)</f>
        <v>335</v>
      </c>
      <c r="H9" s="258">
        <v>107</v>
      </c>
      <c r="I9" s="258">
        <v>80</v>
      </c>
      <c r="J9" s="258">
        <v>142</v>
      </c>
      <c r="K9" s="261">
        <f t="shared" ref="K9" si="1">SUM(H9:J10)</f>
        <v>329</v>
      </c>
      <c r="L9" s="262">
        <f t="shared" ref="L9" si="2">K9/60</f>
        <v>5.4833333333333334</v>
      </c>
      <c r="M9" s="264">
        <v>60.8</v>
      </c>
      <c r="N9" s="265">
        <v>2</v>
      </c>
      <c r="O9" s="41">
        <f>L9/N9</f>
        <v>2.7416666666666667</v>
      </c>
      <c r="P9" s="52">
        <f>M9/N9</f>
        <v>30.4</v>
      </c>
      <c r="Q9" s="40">
        <f>E34/N9</f>
        <v>66.37</v>
      </c>
      <c r="R9" s="204" t="str">
        <f>INDEX('Base Pelotas'!$K$7:$K$15,MATCH('Desl. Base Pelotas'!C9,'Base Pelotas'!$B$7:$B$15,0))</f>
        <v>SIM</v>
      </c>
      <c r="S9" s="204">
        <v>1</v>
      </c>
    </row>
    <row r="10" spans="2:19" ht="15.95" customHeight="1">
      <c r="B10" s="267"/>
      <c r="C10" s="166" t="s">
        <v>220</v>
      </c>
      <c r="D10" s="258"/>
      <c r="E10" s="258"/>
      <c r="F10" s="258"/>
      <c r="G10" s="259"/>
      <c r="H10" s="258"/>
      <c r="I10" s="258"/>
      <c r="J10" s="258"/>
      <c r="K10" s="261"/>
      <c r="L10" s="263"/>
      <c r="M10" s="264">
        <v>0</v>
      </c>
      <c r="N10" s="265"/>
      <c r="O10" s="41">
        <f>O9</f>
        <v>2.7416666666666667</v>
      </c>
      <c r="P10" s="52">
        <f>P9</f>
        <v>30.4</v>
      </c>
      <c r="Q10" s="40">
        <f>Q9</f>
        <v>66.37</v>
      </c>
      <c r="R10" s="204" t="str">
        <f>INDEX('Base Pelotas'!$K$7:$K$15,MATCH('Desl. Base Pelotas'!C10,'Base Pelotas'!$B$7:$B$15,0))</f>
        <v>NÃO</v>
      </c>
      <c r="S10" s="204">
        <v>1</v>
      </c>
    </row>
    <row r="11" spans="2:19" ht="15.95" customHeight="1">
      <c r="B11" s="173">
        <v>4</v>
      </c>
      <c r="C11" s="174" t="s">
        <v>210</v>
      </c>
      <c r="D11" s="167">
        <v>141</v>
      </c>
      <c r="E11" s="167">
        <v>142</v>
      </c>
      <c r="F11" s="167">
        <v>0</v>
      </c>
      <c r="G11" s="168">
        <f t="shared" ref="G11:G12" si="3">SUM(D11:F11)</f>
        <v>283</v>
      </c>
      <c r="H11" s="167">
        <v>100</v>
      </c>
      <c r="I11" s="167">
        <v>107</v>
      </c>
      <c r="J11" s="167">
        <v>0</v>
      </c>
      <c r="K11" s="169">
        <f t="shared" ref="K11:K12" si="4">SUM(H11:J11)</f>
        <v>207</v>
      </c>
      <c r="L11" s="170">
        <f t="shared" ref="L11:L13" si="5">K11/60</f>
        <v>3.45</v>
      </c>
      <c r="M11" s="171">
        <v>0</v>
      </c>
      <c r="N11" s="172">
        <v>1</v>
      </c>
      <c r="O11" s="41">
        <f>L11/N11</f>
        <v>3.45</v>
      </c>
      <c r="P11" s="52">
        <f>M11/N11</f>
        <v>0</v>
      </c>
      <c r="Q11" s="40">
        <v>0</v>
      </c>
      <c r="R11" s="204" t="str">
        <f>INDEX('Base Pelotas'!$K$7:$K$15,MATCH('Desl. Base Pelotas'!C11,'Base Pelotas'!$B$7:$B$15,0))</f>
        <v>SIM</v>
      </c>
      <c r="S11" s="204">
        <v>1</v>
      </c>
    </row>
    <row r="12" spans="2:19" ht="15.95" customHeight="1">
      <c r="B12" s="173">
        <v>5</v>
      </c>
      <c r="C12" s="71" t="s">
        <v>214</v>
      </c>
      <c r="D12" s="167">
        <v>240</v>
      </c>
      <c r="E12" s="167">
        <v>241</v>
      </c>
      <c r="F12" s="167">
        <v>0</v>
      </c>
      <c r="G12" s="168">
        <f t="shared" si="3"/>
        <v>481</v>
      </c>
      <c r="H12" s="167">
        <v>173</v>
      </c>
      <c r="I12" s="167">
        <v>175</v>
      </c>
      <c r="J12" s="167">
        <v>0</v>
      </c>
      <c r="K12" s="169">
        <f t="shared" si="4"/>
        <v>348</v>
      </c>
      <c r="L12" s="170">
        <f t="shared" si="5"/>
        <v>5.8</v>
      </c>
      <c r="M12" s="171">
        <v>30.4</v>
      </c>
      <c r="N12" s="172">
        <v>1</v>
      </c>
      <c r="O12" s="41">
        <f>L12/N12</f>
        <v>5.8</v>
      </c>
      <c r="P12" s="52">
        <f>M12/N12</f>
        <v>30.4</v>
      </c>
      <c r="Q12" s="40">
        <f>E34</f>
        <v>132.74</v>
      </c>
      <c r="R12" s="204" t="str">
        <f>INDEX('Base Pelotas'!$K$7:$K$15,MATCH('Desl. Base Pelotas'!C12,'Base Pelotas'!$B$7:$B$15,0))</f>
        <v>NÃO</v>
      </c>
      <c r="S12" s="204">
        <v>0</v>
      </c>
    </row>
    <row r="13" spans="2:19" ht="15.95" customHeight="1">
      <c r="B13" s="173">
        <v>6</v>
      </c>
      <c r="C13" s="166" t="s">
        <v>218</v>
      </c>
      <c r="D13" s="167">
        <v>73.8</v>
      </c>
      <c r="E13" s="167">
        <v>74.5</v>
      </c>
      <c r="F13" s="167">
        <v>0</v>
      </c>
      <c r="G13" s="168">
        <f>SUM(D13:F13)</f>
        <v>148.30000000000001</v>
      </c>
      <c r="H13" s="167">
        <v>62</v>
      </c>
      <c r="I13" s="167">
        <v>62</v>
      </c>
      <c r="J13" s="167">
        <v>0</v>
      </c>
      <c r="K13" s="169">
        <f>SUM(H13:J13)</f>
        <v>124</v>
      </c>
      <c r="L13" s="170">
        <f t="shared" si="5"/>
        <v>2.0666666666666669</v>
      </c>
      <c r="M13" s="171">
        <v>30.4</v>
      </c>
      <c r="N13" s="172">
        <v>1</v>
      </c>
      <c r="O13" s="41">
        <f>L13/N13</f>
        <v>2.0666666666666669</v>
      </c>
      <c r="P13" s="52">
        <f>M13/N13</f>
        <v>30.4</v>
      </c>
      <c r="Q13" s="40">
        <v>0</v>
      </c>
      <c r="R13" s="204" t="str">
        <f>INDEX('Base Pelotas'!$K$7:$K$15,MATCH('Desl. Base Pelotas'!C13,'Base Pelotas'!$B$7:$B$15,0))</f>
        <v>NÃO</v>
      </c>
      <c r="S13" s="204">
        <v>0</v>
      </c>
    </row>
    <row r="14" spans="2:19" ht="21" customHeight="1">
      <c r="B14" s="279" t="s">
        <v>79</v>
      </c>
      <c r="C14" s="279"/>
      <c r="D14" s="279"/>
      <c r="E14" s="279"/>
      <c r="F14" s="279"/>
      <c r="G14" s="103">
        <f>SUM(G5:G13)</f>
        <v>1455</v>
      </c>
      <c r="H14" s="274" t="s">
        <v>79</v>
      </c>
      <c r="I14" s="274"/>
      <c r="J14" s="274"/>
      <c r="K14" s="103">
        <f>SUM(K5:K13)</f>
        <v>1290</v>
      </c>
      <c r="L14" s="103">
        <f>SUM(L5:L13)</f>
        <v>21.5</v>
      </c>
      <c r="M14" s="104">
        <f>SUM(M5:M13)</f>
        <v>152</v>
      </c>
      <c r="N14" s="105">
        <f>SUM(N5:N13)</f>
        <v>9</v>
      </c>
      <c r="O14" s="103"/>
      <c r="P14" s="104"/>
      <c r="Q14" s="104">
        <f>SUM(Q5:Q13)</f>
        <v>265.48</v>
      </c>
      <c r="R14" s="104"/>
      <c r="S14" s="104"/>
    </row>
    <row r="15" spans="2:19" ht="15.95" customHeight="1">
      <c r="B15" s="42"/>
      <c r="C15" s="42"/>
      <c r="D15" s="42"/>
      <c r="E15" s="42"/>
      <c r="F15" s="38"/>
      <c r="G15" s="38"/>
      <c r="H15" s="38"/>
      <c r="I15" s="38"/>
      <c r="J15" s="38"/>
      <c r="K15" s="38"/>
      <c r="L15" s="38"/>
      <c r="M15" s="38"/>
      <c r="N15" s="38"/>
    </row>
    <row r="16" spans="2:19" ht="18.75" customHeight="1">
      <c r="B16" s="275" t="s">
        <v>95</v>
      </c>
      <c r="C16" s="275"/>
      <c r="D16" s="275"/>
      <c r="E16" s="275"/>
      <c r="F16" s="42"/>
      <c r="G16" s="42"/>
      <c r="H16" s="42"/>
      <c r="I16" s="42"/>
      <c r="J16" s="42"/>
      <c r="K16" s="42"/>
      <c r="L16" s="42"/>
      <c r="M16" s="42"/>
      <c r="N16" s="42"/>
    </row>
    <row r="17" spans="2:14" ht="18.75" customHeight="1">
      <c r="B17" s="120" t="s">
        <v>96</v>
      </c>
      <c r="C17" s="120" t="s">
        <v>97</v>
      </c>
      <c r="D17" s="120" t="s">
        <v>98</v>
      </c>
      <c r="E17" s="120" t="s">
        <v>99</v>
      </c>
      <c r="F17" s="42"/>
      <c r="G17" s="44"/>
      <c r="H17" s="44"/>
      <c r="I17" s="42"/>
      <c r="J17" s="42"/>
      <c r="K17" s="42"/>
      <c r="L17" s="42"/>
      <c r="M17" s="42"/>
      <c r="N17" s="42"/>
    </row>
    <row r="18" spans="2:14" ht="18.75" customHeight="1">
      <c r="B18" s="109" t="s">
        <v>100</v>
      </c>
      <c r="C18" s="108" t="s">
        <v>101</v>
      </c>
      <c r="D18" s="109" t="s">
        <v>102</v>
      </c>
      <c r="E18" s="110">
        <f>'Desl. Base Porto Alegre'!E23</f>
        <v>50.55</v>
      </c>
      <c r="F18" s="42"/>
      <c r="G18" s="45"/>
      <c r="H18" s="45"/>
      <c r="I18" s="42"/>
      <c r="J18" s="42"/>
      <c r="K18" s="43"/>
      <c r="L18" s="43"/>
    </row>
    <row r="19" spans="2:14" ht="18.75" customHeight="1">
      <c r="B19" s="113" t="s">
        <v>103</v>
      </c>
      <c r="C19" s="114" t="s">
        <v>101</v>
      </c>
      <c r="D19" s="113" t="s">
        <v>104</v>
      </c>
      <c r="E19" s="115">
        <f>'Desl. Base Porto Alegre'!E24</f>
        <v>6.95</v>
      </c>
      <c r="F19" s="42"/>
      <c r="G19" s="45"/>
      <c r="H19" s="45"/>
      <c r="I19" s="42"/>
      <c r="J19" s="42"/>
      <c r="K19" s="43"/>
      <c r="L19" s="43"/>
    </row>
    <row r="20" spans="2:14" ht="47.25" customHeight="1">
      <c r="B20" s="268" t="s">
        <v>105</v>
      </c>
      <c r="C20" s="268"/>
      <c r="D20" s="268"/>
      <c r="E20" s="268"/>
      <c r="F20" s="112"/>
      <c r="G20" s="112"/>
      <c r="H20" s="112"/>
      <c r="I20" s="112"/>
      <c r="J20" s="112"/>
      <c r="K20" s="112"/>
      <c r="L20" s="43"/>
    </row>
    <row r="21" spans="2:14" ht="18.75" customHeight="1">
      <c r="B21" s="64"/>
      <c r="C21" s="64"/>
      <c r="D21" s="64"/>
      <c r="E21" s="64"/>
      <c r="F21" s="112"/>
      <c r="G21" s="112"/>
      <c r="H21" s="112"/>
      <c r="I21" s="112"/>
      <c r="J21" s="112"/>
      <c r="K21" s="112"/>
      <c r="L21" s="43"/>
    </row>
    <row r="22" spans="2:14" ht="15.95" customHeight="1">
      <c r="B22" s="275" t="s">
        <v>106</v>
      </c>
      <c r="C22" s="275"/>
      <c r="D22" s="42"/>
      <c r="E22" s="42"/>
      <c r="F22" s="42"/>
      <c r="G22" s="42"/>
      <c r="H22" s="42"/>
      <c r="I22" s="42"/>
      <c r="J22" s="42"/>
      <c r="K22" s="42"/>
      <c r="L22" s="42"/>
    </row>
    <row r="23" spans="2:14" ht="15.95" customHeight="1">
      <c r="B23" s="111" t="s">
        <v>102</v>
      </c>
      <c r="C23" s="123">
        <f>E18*L14</f>
        <v>1086.825</v>
      </c>
      <c r="D23" s="42"/>
      <c r="E23" s="42"/>
      <c r="F23" s="42"/>
      <c r="G23" s="42"/>
      <c r="H23" s="42"/>
      <c r="I23" s="42"/>
      <c r="J23" s="42"/>
    </row>
    <row r="24" spans="2:14" ht="15.95" customHeight="1">
      <c r="B24" s="109" t="s">
        <v>104</v>
      </c>
      <c r="C24" s="110">
        <f>E19*('Base Pelotas'!N16/12)</f>
        <v>189.70604166666666</v>
      </c>
      <c r="D24" s="42"/>
      <c r="E24" s="42"/>
      <c r="F24" s="42"/>
      <c r="G24" s="42"/>
      <c r="H24" s="42"/>
      <c r="I24" s="42"/>
      <c r="J24" s="42"/>
    </row>
    <row r="25" spans="2:14" ht="15.95" customHeight="1">
      <c r="B25" s="118" t="s">
        <v>21</v>
      </c>
      <c r="C25" s="117">
        <f>C23+C24</f>
        <v>1276.5310416666666</v>
      </c>
      <c r="D25" s="42"/>
      <c r="E25" s="42"/>
      <c r="F25" s="42"/>
      <c r="G25" s="42"/>
      <c r="H25" s="42"/>
      <c r="I25" s="38"/>
      <c r="J25" s="38"/>
    </row>
    <row r="26" spans="2:14" ht="15.95" customHeight="1">
      <c r="B26" s="47"/>
      <c r="C26" s="47"/>
      <c r="D26" s="42"/>
      <c r="H26" s="38"/>
      <c r="I26" s="38"/>
    </row>
    <row r="27" spans="2:14" ht="15.95" customHeight="1">
      <c r="B27" s="278" t="s">
        <v>107</v>
      </c>
      <c r="C27" s="278"/>
      <c r="D27" s="42"/>
      <c r="H27" s="38"/>
      <c r="I27" s="38"/>
    </row>
    <row r="28" spans="2:14" ht="15.95" customHeight="1">
      <c r="B28" s="120" t="s">
        <v>99</v>
      </c>
      <c r="C28" s="119">
        <f>SUM(M5:M13)</f>
        <v>152</v>
      </c>
      <c r="I28" s="42"/>
    </row>
    <row r="29" spans="2:14">
      <c r="B29" s="38"/>
      <c r="C29" s="38"/>
      <c r="D29" s="38"/>
    </row>
    <row r="30" spans="2:14">
      <c r="B30" s="121" t="s">
        <v>240</v>
      </c>
      <c r="C30" s="122"/>
      <c r="D30" s="38"/>
    </row>
    <row r="31" spans="2:14">
      <c r="B31" s="45"/>
      <c r="C31" s="42"/>
      <c r="D31" s="42"/>
    </row>
    <row r="32" spans="2:14">
      <c r="B32" s="280" t="s">
        <v>59</v>
      </c>
      <c r="C32" s="280"/>
      <c r="D32" s="280"/>
      <c r="E32" s="280"/>
    </row>
    <row r="33" spans="2:5">
      <c r="B33" s="205" t="s">
        <v>291</v>
      </c>
      <c r="C33" s="205" t="s">
        <v>97</v>
      </c>
      <c r="D33" s="205" t="s">
        <v>98</v>
      </c>
      <c r="E33" s="205" t="s">
        <v>99</v>
      </c>
    </row>
    <row r="34" spans="2:5" ht="29.25" customHeight="1">
      <c r="B34" s="113" t="s">
        <v>292</v>
      </c>
      <c r="C34" s="206" t="s">
        <v>293</v>
      </c>
      <c r="D34" s="113" t="s">
        <v>294</v>
      </c>
      <c r="E34" s="207">
        <v>132.74</v>
      </c>
    </row>
    <row r="35" spans="2:5" ht="23.25" customHeight="1">
      <c r="B35" s="281" t="s">
        <v>295</v>
      </c>
      <c r="C35" s="281"/>
      <c r="D35" s="281"/>
      <c r="E35" s="281"/>
    </row>
    <row r="36" spans="2:5">
      <c r="B36" s="158"/>
      <c r="C36" s="38"/>
      <c r="D36" s="38"/>
    </row>
    <row r="37" spans="2:5">
      <c r="B37" s="47"/>
      <c r="C37" s="42"/>
      <c r="D37" s="42"/>
    </row>
    <row r="38" spans="2:5">
      <c r="B38" s="42"/>
      <c r="C38" s="42"/>
      <c r="D38" s="45"/>
    </row>
    <row r="39" spans="2:5">
      <c r="B39" s="42"/>
      <c r="C39" s="42"/>
      <c r="D39" s="45"/>
    </row>
    <row r="40" spans="2:5">
      <c r="B40" s="47"/>
      <c r="C40" s="42"/>
      <c r="D40" s="54"/>
    </row>
    <row r="41" spans="2:5">
      <c r="B41" s="38"/>
      <c r="C41" s="38"/>
      <c r="D41" s="38"/>
    </row>
    <row r="42" spans="2:5">
      <c r="B42" s="53"/>
      <c r="C42" s="38"/>
      <c r="D42" s="38"/>
    </row>
    <row r="43" spans="2:5">
      <c r="B43" s="45"/>
      <c r="C43" s="42"/>
      <c r="D43" s="42"/>
    </row>
    <row r="44" spans="2:5">
      <c r="B44" s="47"/>
      <c r="C44" s="42"/>
      <c r="D44" s="42"/>
    </row>
    <row r="45" spans="2:5">
      <c r="B45" s="42"/>
      <c r="C45" s="42"/>
      <c r="D45" s="45"/>
    </row>
    <row r="46" spans="2:5">
      <c r="B46" s="42"/>
      <c r="C46" s="42"/>
      <c r="D46" s="45"/>
    </row>
    <row r="47" spans="2:5">
      <c r="B47" s="42"/>
      <c r="C47" s="42"/>
      <c r="D47" s="45"/>
    </row>
    <row r="48" spans="2:5">
      <c r="B48" s="47"/>
      <c r="C48" s="42"/>
      <c r="D48" s="54"/>
    </row>
  </sheetData>
  <mergeCells count="45">
    <mergeCell ref="B32:E32"/>
    <mergeCell ref="B35:E35"/>
    <mergeCell ref="M5:M6"/>
    <mergeCell ref="N5:N6"/>
    <mergeCell ref="H5:H6"/>
    <mergeCell ref="I5:I6"/>
    <mergeCell ref="J5:J6"/>
    <mergeCell ref="K5:K6"/>
    <mergeCell ref="L5:L6"/>
    <mergeCell ref="B5:B6"/>
    <mergeCell ref="D5:D6"/>
    <mergeCell ref="E5:E6"/>
    <mergeCell ref="F5:F6"/>
    <mergeCell ref="G5:G6"/>
    <mergeCell ref="B16:E16"/>
    <mergeCell ref="B20:E20"/>
    <mergeCell ref="B22:C22"/>
    <mergeCell ref="B27:C27"/>
    <mergeCell ref="B14:F14"/>
    <mergeCell ref="H14:J14"/>
    <mergeCell ref="K9:K10"/>
    <mergeCell ref="B9:B10"/>
    <mergeCell ref="D9:D10"/>
    <mergeCell ref="E9:E10"/>
    <mergeCell ref="L9:L10"/>
    <mergeCell ref="M9:M10"/>
    <mergeCell ref="N9:N10"/>
    <mergeCell ref="F9:F10"/>
    <mergeCell ref="G9:G10"/>
    <mergeCell ref="H9:H10"/>
    <mergeCell ref="I9:I10"/>
    <mergeCell ref="J9:J10"/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</mergeCells>
  <printOptions horizontalCentered="1"/>
  <pageMargins left="0.78749999999999998" right="0.78749999999999998" top="0.15972222222222199" bottom="8.1944444444444403E-2" header="0.51180555555555496" footer="0.51180555555555496"/>
  <pageSetup paperSize="9" pageOrder="overThenDown" orientation="portrait" useFirstPageNumber="1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08" zoomScaleNormal="108" workbookViewId="0">
      <selection activeCell="K6" sqref="K6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296" t="s">
        <v>109</v>
      </c>
      <c r="C2" s="296"/>
      <c r="D2" s="296"/>
      <c r="E2" s="296"/>
      <c r="F2" s="296"/>
      <c r="G2" s="296"/>
      <c r="H2" s="296"/>
      <c r="I2" s="296"/>
    </row>
    <row r="3" spans="2:9" ht="21" customHeight="1"/>
    <row r="4" spans="2:9" ht="17.100000000000001" customHeight="1">
      <c r="B4" s="282" t="s">
        <v>132</v>
      </c>
      <c r="C4" s="282"/>
      <c r="D4" s="282"/>
      <c r="E4" s="282"/>
      <c r="F4" s="282"/>
      <c r="G4" s="282"/>
      <c r="H4" s="282"/>
      <c r="I4" s="282"/>
    </row>
    <row r="5" spans="2:9" ht="17.100000000000001" customHeight="1">
      <c r="B5" s="283" t="s">
        <v>110</v>
      </c>
      <c r="C5" s="283"/>
      <c r="D5" s="284" t="s">
        <v>111</v>
      </c>
      <c r="E5" s="284"/>
      <c r="F5" s="284"/>
      <c r="G5" s="284"/>
      <c r="H5" s="284"/>
      <c r="I5" s="284"/>
    </row>
    <row r="6" spans="2:9" ht="17.100000000000001" customHeight="1">
      <c r="B6" s="283" t="s">
        <v>97</v>
      </c>
      <c r="C6" s="283"/>
      <c r="D6" s="284" t="s">
        <v>112</v>
      </c>
      <c r="E6" s="284"/>
      <c r="F6" s="284"/>
      <c r="G6" s="284"/>
      <c r="H6" s="284"/>
      <c r="I6" s="284"/>
    </row>
    <row r="7" spans="2:9" ht="17.100000000000001" customHeight="1">
      <c r="B7" s="283" t="s">
        <v>113</v>
      </c>
      <c r="C7" s="283"/>
      <c r="D7" s="285" t="s">
        <v>270</v>
      </c>
      <c r="E7" s="285"/>
      <c r="F7" s="285"/>
      <c r="G7" s="285"/>
      <c r="H7" s="285"/>
      <c r="I7" s="285"/>
    </row>
    <row r="8" spans="2:9" ht="17.100000000000001" customHeight="1">
      <c r="B8" s="283" t="s">
        <v>114</v>
      </c>
      <c r="C8" s="283"/>
      <c r="D8" s="284" t="s">
        <v>290</v>
      </c>
      <c r="E8" s="284"/>
      <c r="F8" s="284"/>
      <c r="G8" s="284"/>
      <c r="H8" s="284"/>
      <c r="I8" s="284"/>
    </row>
    <row r="9" spans="2:9" ht="17.100000000000001" customHeight="1">
      <c r="B9" s="283" t="s">
        <v>115</v>
      </c>
      <c r="C9" s="283"/>
      <c r="D9" s="284" t="s">
        <v>116</v>
      </c>
      <c r="E9" s="284"/>
      <c r="F9" s="284"/>
      <c r="G9" s="284"/>
      <c r="H9" s="284"/>
      <c r="I9" s="284"/>
    </row>
    <row r="10" spans="2:9" ht="17.100000000000001" customHeight="1">
      <c r="B10" s="283" t="s">
        <v>98</v>
      </c>
      <c r="C10" s="283"/>
      <c r="D10" s="284" t="s">
        <v>102</v>
      </c>
      <c r="E10" s="284"/>
      <c r="F10" s="284"/>
      <c r="G10" s="284"/>
      <c r="H10" s="284"/>
      <c r="I10" s="284"/>
    </row>
    <row r="11" spans="2:9" ht="23.85" customHeight="1">
      <c r="B11" s="286" t="s">
        <v>117</v>
      </c>
      <c r="C11" s="286"/>
      <c r="D11" s="300">
        <f>SUM(I14:I18)</f>
        <v>50.55</v>
      </c>
      <c r="E11" s="300"/>
      <c r="F11" s="300"/>
      <c r="G11" s="300"/>
      <c r="H11" s="300"/>
      <c r="I11" s="300"/>
    </row>
    <row r="12" spans="2:9" ht="15.75" customHeight="1">
      <c r="B12" s="124"/>
      <c r="C12" s="124"/>
      <c r="D12" s="125"/>
      <c r="E12" s="125"/>
      <c r="F12" s="125"/>
      <c r="G12" s="125"/>
      <c r="H12" s="125"/>
      <c r="I12" s="125"/>
    </row>
    <row r="13" spans="2:9" ht="29.65" customHeight="1">
      <c r="B13" s="126"/>
      <c r="C13" s="126" t="s">
        <v>133</v>
      </c>
      <c r="D13" s="126" t="s">
        <v>97</v>
      </c>
      <c r="E13" s="126" t="s">
        <v>115</v>
      </c>
      <c r="F13" s="126" t="s">
        <v>98</v>
      </c>
      <c r="G13" s="126" t="s">
        <v>117</v>
      </c>
      <c r="H13" s="126" t="s">
        <v>118</v>
      </c>
      <c r="I13" s="126" t="s">
        <v>117</v>
      </c>
    </row>
    <row r="14" spans="2:9" ht="28.35" customHeight="1">
      <c r="B14" s="128" t="s">
        <v>119</v>
      </c>
      <c r="C14" s="128" t="s">
        <v>122</v>
      </c>
      <c r="D14" s="127" t="s">
        <v>123</v>
      </c>
      <c r="E14" s="127" t="s">
        <v>116</v>
      </c>
      <c r="F14" s="128" t="s">
        <v>120</v>
      </c>
      <c r="G14" s="160">
        <v>4.8600000000000003</v>
      </c>
      <c r="H14" s="160" t="s">
        <v>121</v>
      </c>
      <c r="I14" s="160">
        <f>G14*H14</f>
        <v>4.8600000000000003</v>
      </c>
    </row>
    <row r="15" spans="2:9" ht="28.35" customHeight="1">
      <c r="B15" s="128" t="s">
        <v>119</v>
      </c>
      <c r="C15" s="128" t="s">
        <v>124</v>
      </c>
      <c r="D15" s="127" t="s">
        <v>125</v>
      </c>
      <c r="E15" s="127" t="s">
        <v>116</v>
      </c>
      <c r="F15" s="128" t="s">
        <v>120</v>
      </c>
      <c r="G15" s="160">
        <v>1.49</v>
      </c>
      <c r="H15" s="160" t="s">
        <v>121</v>
      </c>
      <c r="I15" s="160">
        <f>G15*H15</f>
        <v>1.49</v>
      </c>
    </row>
    <row r="16" spans="2:9" ht="42.6" customHeight="1">
      <c r="B16" s="128" t="s">
        <v>119</v>
      </c>
      <c r="C16" s="128" t="s">
        <v>126</v>
      </c>
      <c r="D16" s="127" t="s">
        <v>127</v>
      </c>
      <c r="E16" s="127" t="s">
        <v>116</v>
      </c>
      <c r="F16" s="128" t="s">
        <v>120</v>
      </c>
      <c r="G16" s="160">
        <v>0.6</v>
      </c>
      <c r="H16" s="160" t="s">
        <v>121</v>
      </c>
      <c r="I16" s="160">
        <f>G16*H16</f>
        <v>0.6</v>
      </c>
    </row>
    <row r="17" spans="2:9" ht="28.35" customHeight="1">
      <c r="B17" s="128" t="s">
        <v>119</v>
      </c>
      <c r="C17" s="128" t="s">
        <v>128</v>
      </c>
      <c r="D17" s="127" t="s">
        <v>129</v>
      </c>
      <c r="E17" s="127" t="s">
        <v>116</v>
      </c>
      <c r="F17" s="128" t="s">
        <v>120</v>
      </c>
      <c r="G17" s="160">
        <v>6.07</v>
      </c>
      <c r="H17" s="160" t="s">
        <v>121</v>
      </c>
      <c r="I17" s="160">
        <f>G17*H17</f>
        <v>6.07</v>
      </c>
    </row>
    <row r="18" spans="2:9" ht="42.6" customHeight="1">
      <c r="B18" s="128" t="s">
        <v>119</v>
      </c>
      <c r="C18" s="128" t="s">
        <v>130</v>
      </c>
      <c r="D18" s="127" t="s">
        <v>131</v>
      </c>
      <c r="E18" s="127" t="s">
        <v>116</v>
      </c>
      <c r="F18" s="128" t="s">
        <v>120</v>
      </c>
      <c r="G18" s="160">
        <v>37.53</v>
      </c>
      <c r="H18" s="160" t="s">
        <v>121</v>
      </c>
      <c r="I18" s="160">
        <f>G18*H18</f>
        <v>37.53</v>
      </c>
    </row>
    <row r="19" spans="2:9" ht="28.35" customHeight="1"/>
    <row r="20" spans="2:9" ht="17.100000000000001" customHeight="1">
      <c r="B20" s="297" t="s">
        <v>136</v>
      </c>
      <c r="C20" s="298"/>
      <c r="D20" s="298"/>
      <c r="E20" s="298"/>
      <c r="F20" s="298"/>
      <c r="G20" s="298"/>
      <c r="H20" s="298"/>
      <c r="I20" s="299"/>
    </row>
    <row r="21" spans="2:9" ht="17.100000000000001" customHeight="1">
      <c r="B21" s="290" t="s">
        <v>110</v>
      </c>
      <c r="C21" s="291"/>
      <c r="D21" s="295" t="s">
        <v>134</v>
      </c>
      <c r="E21" s="293"/>
      <c r="F21" s="293"/>
      <c r="G21" s="293"/>
      <c r="H21" s="293"/>
      <c r="I21" s="294"/>
    </row>
    <row r="22" spans="2:9" ht="17.100000000000001" customHeight="1">
      <c r="B22" s="290" t="s">
        <v>97</v>
      </c>
      <c r="C22" s="291"/>
      <c r="D22" s="295" t="s">
        <v>135</v>
      </c>
      <c r="E22" s="293"/>
      <c r="F22" s="293"/>
      <c r="G22" s="293"/>
      <c r="H22" s="293"/>
      <c r="I22" s="294"/>
    </row>
    <row r="23" spans="2:9" ht="17.100000000000001" customHeight="1">
      <c r="B23" s="290" t="s">
        <v>113</v>
      </c>
      <c r="C23" s="291"/>
      <c r="D23" s="292" t="str">
        <f>D7</f>
        <v>10/2023</v>
      </c>
      <c r="E23" s="293"/>
      <c r="F23" s="293"/>
      <c r="G23" s="293"/>
      <c r="H23" s="293"/>
      <c r="I23" s="294"/>
    </row>
    <row r="24" spans="2:9" ht="17.100000000000001" customHeight="1">
      <c r="B24" s="290" t="s">
        <v>114</v>
      </c>
      <c r="C24" s="291"/>
      <c r="D24" s="295" t="str">
        <f>D8</f>
        <v>Rio Grande do Sul</v>
      </c>
      <c r="E24" s="293"/>
      <c r="F24" s="293"/>
      <c r="G24" s="293"/>
      <c r="H24" s="293"/>
      <c r="I24" s="294"/>
    </row>
    <row r="25" spans="2:9" ht="17.100000000000001" customHeight="1">
      <c r="B25" s="290" t="s">
        <v>115</v>
      </c>
      <c r="C25" s="291"/>
      <c r="D25" s="295" t="s">
        <v>116</v>
      </c>
      <c r="E25" s="293"/>
      <c r="F25" s="293"/>
      <c r="G25" s="293"/>
      <c r="H25" s="293"/>
      <c r="I25" s="294"/>
    </row>
    <row r="26" spans="2:9" ht="17.100000000000001" customHeight="1">
      <c r="B26" s="290" t="s">
        <v>98</v>
      </c>
      <c r="C26" s="291"/>
      <c r="D26" s="295" t="s">
        <v>104</v>
      </c>
      <c r="E26" s="293"/>
      <c r="F26" s="293"/>
      <c r="G26" s="293"/>
      <c r="H26" s="293"/>
      <c r="I26" s="294"/>
    </row>
    <row r="27" spans="2:9" ht="23.85" customHeight="1">
      <c r="B27" s="286" t="s">
        <v>117</v>
      </c>
      <c r="C27" s="286"/>
      <c r="D27" s="287">
        <f>SUM(I30:I32)</f>
        <v>6.95</v>
      </c>
      <c r="E27" s="288"/>
      <c r="F27" s="288"/>
      <c r="G27" s="288"/>
      <c r="H27" s="288"/>
      <c r="I27" s="289"/>
    </row>
    <row r="28" spans="2:9" ht="15.75" customHeight="1">
      <c r="B28" s="124"/>
      <c r="C28" s="124"/>
      <c r="D28" s="125"/>
      <c r="E28" s="125"/>
      <c r="F28" s="125"/>
      <c r="G28" s="125"/>
      <c r="H28" s="125"/>
      <c r="I28" s="125"/>
    </row>
    <row r="29" spans="2:9" ht="29.65" customHeight="1">
      <c r="B29" s="126"/>
      <c r="C29" s="126" t="s">
        <v>133</v>
      </c>
      <c r="D29" s="126" t="s">
        <v>97</v>
      </c>
      <c r="E29" s="126" t="s">
        <v>115</v>
      </c>
      <c r="F29" s="126" t="s">
        <v>98</v>
      </c>
      <c r="G29" s="126" t="s">
        <v>117</v>
      </c>
      <c r="H29" s="126" t="s">
        <v>118</v>
      </c>
      <c r="I29" s="126" t="s">
        <v>117</v>
      </c>
    </row>
    <row r="30" spans="2:9" ht="28.35" customHeight="1">
      <c r="B30" s="128" t="s">
        <v>119</v>
      </c>
      <c r="C30" s="128" t="s">
        <v>122</v>
      </c>
      <c r="D30" s="127" t="s">
        <v>123</v>
      </c>
      <c r="E30" s="127" t="s">
        <v>116</v>
      </c>
      <c r="F30" s="128" t="s">
        <v>120</v>
      </c>
      <c r="G30" s="160">
        <f>G14</f>
        <v>4.8600000000000003</v>
      </c>
      <c r="H30" s="161" t="s">
        <v>121</v>
      </c>
      <c r="I30" s="160">
        <f>G30*H30</f>
        <v>4.8600000000000003</v>
      </c>
    </row>
    <row r="31" spans="2:9" ht="28.35" customHeight="1">
      <c r="B31" s="128" t="s">
        <v>119</v>
      </c>
      <c r="C31" s="128" t="s">
        <v>124</v>
      </c>
      <c r="D31" s="127" t="s">
        <v>125</v>
      </c>
      <c r="E31" s="127" t="s">
        <v>116</v>
      </c>
      <c r="F31" s="128" t="s">
        <v>120</v>
      </c>
      <c r="G31" s="160">
        <f t="shared" ref="G31:G32" si="0">G15</f>
        <v>1.49</v>
      </c>
      <c r="H31" s="161" t="s">
        <v>121</v>
      </c>
      <c r="I31" s="160">
        <f>G31*H31</f>
        <v>1.49</v>
      </c>
    </row>
    <row r="32" spans="2:9" ht="42.6" customHeight="1">
      <c r="B32" s="128" t="s">
        <v>119</v>
      </c>
      <c r="C32" s="128" t="s">
        <v>126</v>
      </c>
      <c r="D32" s="127" t="s">
        <v>127</v>
      </c>
      <c r="E32" s="127" t="s">
        <v>116</v>
      </c>
      <c r="F32" s="128" t="s">
        <v>120</v>
      </c>
      <c r="G32" s="160">
        <f t="shared" si="0"/>
        <v>0.6</v>
      </c>
      <c r="H32" s="161" t="s">
        <v>121</v>
      </c>
      <c r="I32" s="160">
        <f>G32*H32</f>
        <v>0.6</v>
      </c>
    </row>
  </sheetData>
  <mergeCells count="31"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58186-421E-4F17-B708-A4798B270233}">
  <sheetPr>
    <tabColor theme="0"/>
  </sheetPr>
  <dimension ref="B1:F16"/>
  <sheetViews>
    <sheetView zoomScale="110" zoomScaleNormal="110" workbookViewId="0">
      <selection activeCell="G16" sqref="G16"/>
    </sheetView>
  </sheetViews>
  <sheetFormatPr defaultColWidth="10.125" defaultRowHeight="12.75"/>
  <cols>
    <col min="1" max="1" width="5" style="176" customWidth="1"/>
    <col min="2" max="2" width="33.625" style="176" customWidth="1"/>
    <col min="3" max="3" width="27.75" style="176" customWidth="1"/>
    <col min="4" max="4" width="15" style="176" customWidth="1"/>
    <col min="5" max="5" width="7.5" style="176" customWidth="1"/>
    <col min="6" max="16384" width="10.125" style="176"/>
  </cols>
  <sheetData>
    <row r="1" spans="2:6" ht="15" customHeight="1"/>
    <row r="2" spans="2:6" ht="15" customHeight="1">
      <c r="C2" s="208" t="s">
        <v>266</v>
      </c>
    </row>
    <row r="3" spans="2:6" ht="15" customHeight="1">
      <c r="B3" s="180" t="s">
        <v>296</v>
      </c>
      <c r="C3" s="208" t="s">
        <v>297</v>
      </c>
    </row>
    <row r="4" spans="2:6" ht="15" customHeight="1">
      <c r="B4" s="180" t="s">
        <v>298</v>
      </c>
      <c r="C4" s="188" t="s">
        <v>299</v>
      </c>
    </row>
    <row r="5" spans="2:6" ht="15" customHeight="1">
      <c r="B5" s="180" t="s">
        <v>261</v>
      </c>
      <c r="C5" s="188">
        <v>45200</v>
      </c>
    </row>
    <row r="6" spans="2:6" ht="15" customHeight="1">
      <c r="B6" s="180" t="s">
        <v>300</v>
      </c>
      <c r="C6" s="187">
        <v>56.25</v>
      </c>
    </row>
    <row r="7" spans="2:6">
      <c r="B7" s="209"/>
      <c r="C7" s="210"/>
    </row>
    <row r="8" spans="2:6" ht="27.75" customHeight="1">
      <c r="B8" s="185" t="s">
        <v>301</v>
      </c>
      <c r="C8" s="211" t="s">
        <v>302</v>
      </c>
    </row>
    <row r="9" spans="2:6" ht="15" customHeight="1">
      <c r="B9" s="180" t="s">
        <v>256</v>
      </c>
      <c r="C9" s="184">
        <v>0.83340000000000003</v>
      </c>
    </row>
    <row r="10" spans="2:6" ht="15" customHeight="1">
      <c r="B10" s="180" t="s">
        <v>254</v>
      </c>
      <c r="C10" s="184">
        <v>1.1276999999999999</v>
      </c>
    </row>
    <row r="11" spans="2:6" ht="14.1" customHeight="1">
      <c r="B11" s="209"/>
      <c r="C11" s="209"/>
    </row>
    <row r="12" spans="2:6" ht="15" customHeight="1">
      <c r="B12" s="182" t="s">
        <v>303</v>
      </c>
      <c r="C12" s="181"/>
    </row>
    <row r="13" spans="2:6" ht="15" customHeight="1">
      <c r="B13" s="212" t="s">
        <v>304</v>
      </c>
      <c r="C13" s="213">
        <f>C6*(1+C9)</f>
        <v>103.12875000000001</v>
      </c>
      <c r="D13" s="214"/>
      <c r="F13" s="215"/>
    </row>
    <row r="14" spans="2:6" ht="15" customHeight="1">
      <c r="B14" s="212" t="s">
        <v>305</v>
      </c>
      <c r="C14" s="213">
        <f>C6*(1+C10)</f>
        <v>119.68312499999999</v>
      </c>
      <c r="D14" s="214"/>
      <c r="F14" s="215"/>
    </row>
    <row r="16" spans="2:6" ht="40.5" customHeight="1">
      <c r="B16" s="301" t="s">
        <v>306</v>
      </c>
      <c r="C16" s="301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E1BE7-826B-4621-9ED3-4701CE39B331}">
  <ds:schemaRefs>
    <ds:schemaRef ds:uri="706c7f7c-e32b-4162-b9b5-46b4313c91a4"/>
    <ds:schemaRef ds:uri="132d983b-bc52-4905-b3a2-4655d790e7b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FFC950D-FC48-4583-A714-9ACD929FB4AA}"/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42</vt:i4>
      </vt:variant>
    </vt:vector>
  </HeadingPairs>
  <TitlesOfParts>
    <vt:vector size="57" baseType="lpstr">
      <vt:lpstr>Valor da Contratação</vt:lpstr>
      <vt:lpstr>Resumo</vt:lpstr>
      <vt:lpstr>Equipe Técnica</vt:lpstr>
      <vt:lpstr>Base Porto Alegre</vt:lpstr>
      <vt:lpstr>Desl. Base Porto Alegre</vt:lpstr>
      <vt:lpstr>Base Pelotas</vt:lpstr>
      <vt:lpstr>Desl. Base Pelotas</vt:lpstr>
      <vt:lpstr>Comp. Veículo</vt:lpstr>
      <vt:lpstr>Custo Eng. Eletricista</vt:lpstr>
      <vt:lpstr>Comp. Eng. Eletricista</vt:lpstr>
      <vt:lpstr>Custo Oficial de Manutenção</vt:lpstr>
      <vt:lpstr>Comp. Oficial de Manutenção</vt:lpstr>
      <vt:lpstr>Unidades</vt:lpstr>
      <vt:lpstr>BDI</vt:lpstr>
      <vt:lpstr>Divisão Custos ISSQN</vt:lpstr>
      <vt:lpstr>'Base Pelotas'!_xlnm_Print_Area</vt:lpstr>
      <vt:lpstr>'Base Porto Alegre'!_xlnm_Print_Area</vt:lpstr>
      <vt:lpstr>'Desl. Base Pelotas'!_xlnm_Print_Area</vt:lpstr>
      <vt:lpstr>'Desl. Base Porto Alegre'!_xlnm_Print_Area</vt:lpstr>
      <vt:lpstr>'Equipe Técnica'!_xlnm_Print_Area</vt:lpstr>
      <vt:lpstr>Unidades!_xlnm_Print_Area</vt:lpstr>
      <vt:lpstr>'Base Pelotas'!_xlnm_Print_Area_0</vt:lpstr>
      <vt:lpstr>'Base Porto Alegre'!_xlnm_Print_Area_0</vt:lpstr>
      <vt:lpstr>'Desl. Base Pelotas'!_xlnm_Print_Area_0</vt:lpstr>
      <vt:lpstr>'Desl. Base Porto Alegre'!_xlnm_Print_Area_0</vt:lpstr>
      <vt:lpstr>'Equipe Técnica'!_xlnm_Print_Area_0</vt:lpstr>
      <vt:lpstr>Unidades!_xlnm_Print_Area_0</vt:lpstr>
      <vt:lpstr>'Base Pelotas'!Area_de_impressao</vt:lpstr>
      <vt:lpstr>'Base Porto Alegre'!Area_de_impressao</vt:lpstr>
      <vt:lpstr>BDI!Area_de_impressao</vt:lpstr>
      <vt:lpstr>'Desl. Base Pelotas'!Area_de_impressao</vt:lpstr>
      <vt:lpstr>'Desl. Base Porto Alegre'!Area_de_impressao</vt:lpstr>
      <vt:lpstr>'Equipe Técnica'!Area_de_impressao</vt:lpstr>
      <vt:lpstr>Unidades!Area_de_impressao</vt:lpstr>
      <vt:lpstr>'Base Pelotas'!Excel_BuiltIn_Print_Area</vt:lpstr>
      <vt:lpstr>'Base Porto Alegre'!Excel_BuiltIn_Print_Area</vt:lpstr>
      <vt:lpstr>Unidades!Excel_BuiltIn_Print_Area</vt:lpstr>
      <vt:lpstr>'Base Pelotas'!Print_Area_0</vt:lpstr>
      <vt:lpstr>'Base Porto Alegre'!Print_Area_0</vt:lpstr>
      <vt:lpstr>'Desl. Base Pelotas'!Print_Area_0</vt:lpstr>
      <vt:lpstr>'Desl. Base Porto Alegre'!Print_Area_0</vt:lpstr>
      <vt:lpstr>'Equipe Técnica'!Print_Area_0</vt:lpstr>
      <vt:lpstr>Unidades!Print_Area_0</vt:lpstr>
      <vt:lpstr>'Base Pelotas'!Print_Area_0_0</vt:lpstr>
      <vt:lpstr>'Base Porto Alegre'!Print_Area_0_0</vt:lpstr>
      <vt:lpstr>'Desl. Base Pelotas'!Print_Area_0_0</vt:lpstr>
      <vt:lpstr>'Desl. Base Porto Alegre'!Print_Area_0_0</vt:lpstr>
      <vt:lpstr>'Equipe Técnica'!Print_Area_0_0</vt:lpstr>
      <vt:lpstr>Unidades!Print_Area_0_0</vt:lpstr>
      <vt:lpstr>'Base Pelotas'!Print_Area_0_0_0</vt:lpstr>
      <vt:lpstr>'Base Porto Alegre'!Print_Area_0_0_0</vt:lpstr>
      <vt:lpstr>'Desl. Base Pelotas'!Print_Area_0_0_0</vt:lpstr>
      <vt:lpstr>'Desl. Base Porto Alegre'!Print_Area_0_0_0</vt:lpstr>
      <vt:lpstr>'Base Pelotas'!Print_Area_0_0_0_0</vt:lpstr>
      <vt:lpstr>'Base Porto Alegre'!Print_Area_0_0_0_0</vt:lpstr>
      <vt:lpstr>'Desl. Base Pelotas'!Print_Area_0_0_0_0</vt:lpstr>
      <vt:lpstr>'Desl. Base Porto Alegre'!Print_Area_0_0_0_0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2023-12-07T12:42:23Z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